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275" windowHeight="13065" activeTab="0"/>
  </bookViews>
  <sheets>
    <sheet name="Tab1" sheetId="1" r:id="rId1"/>
  </sheets>
  <definedNames>
    <definedName name="dullien_tabelle" localSheetId="0">'Tab1'!$B$4:$T$21</definedName>
    <definedName name="dullien_tabelle_1" localSheetId="0">'Tab1'!$B$26:$T$43</definedName>
    <definedName name="dullien_tabelle_3" localSheetId="0">'Tab1'!$B$48:$N$68</definedName>
  </definedNames>
  <calcPr fullCalcOnLoad="1"/>
</workbook>
</file>

<file path=xl/sharedStrings.xml><?xml version="1.0" encoding="utf-8"?>
<sst xmlns="http://schemas.openxmlformats.org/spreadsheetml/2006/main" count="95" uniqueCount="43">
  <si>
    <t>Bauten</t>
  </si>
  <si>
    <t>Ausrüstungen</t>
  </si>
  <si>
    <t>Insgesamt</t>
  </si>
  <si>
    <t>Nettoausrüstungsinvestitionen verschiedene Methoden</t>
  </si>
  <si>
    <t>Kapitalstock Bauten</t>
  </si>
  <si>
    <t>Kapitalstock Bauten (Modifiziert)</t>
  </si>
  <si>
    <t>Abschreibungen  Bauten</t>
  </si>
  <si>
    <t>Bruttoinvestitionen Bauten</t>
  </si>
  <si>
    <t>Bruttoinvestitionen Bauten (Modifiziert)</t>
  </si>
  <si>
    <t>Kapitalstock Ausrüstungen</t>
  </si>
  <si>
    <t>Kapitalstock Ausrüstungen (Modifiziert)</t>
  </si>
  <si>
    <t>Abschreibungen Ausrüstungen</t>
  </si>
  <si>
    <t>Bruttoinvestitionen Ausrüstung</t>
  </si>
  <si>
    <t>Bruttoinvestitionen Ausrüstung (Modifiziert)</t>
  </si>
  <si>
    <t>Bruttoinvestitionen Total</t>
  </si>
  <si>
    <t>Nettoinvesti-tionen tatsächlich Total</t>
  </si>
  <si>
    <t>Nettoinvestitionen Ausrüstungen nach  der Maurer-Methode</t>
  </si>
  <si>
    <t>Nettoausrüstungen Ausrüstungen tatsächlich</t>
  </si>
  <si>
    <t>Nettoinvestitionen Ausrüstungen nach  der Maurer-Methode (Modifiziert)</t>
  </si>
  <si>
    <t>Nettoausrüstungen Ausrüstungen tatsächlich (Modifiziert)</t>
  </si>
  <si>
    <t>Niveau</t>
  </si>
  <si>
    <t>Wachstum</t>
  </si>
  <si>
    <t>Nettoinvestitionen in Ausrüstungen nach der Maurer-Methode</t>
  </si>
  <si>
    <t>Mittelwert der Über-schätzung nach der Maurer-      &lt;- Methode</t>
  </si>
  <si>
    <t>Überschätzung</t>
  </si>
  <si>
    <t>Nettoausrüstungsinvest. verschied. Meth.</t>
  </si>
  <si>
    <t>Geschätzte Ableitung</t>
  </si>
  <si>
    <t>Tatsächliche Ableitung</t>
  </si>
  <si>
    <t>Jährliche Wachstumraten</t>
  </si>
  <si>
    <t>Durchschnittliche Wachstumraten</t>
  </si>
  <si>
    <t>Jahr</t>
  </si>
  <si>
    <t>Geschätzter Abschreibungsfaktor</t>
  </si>
  <si>
    <t>Tatsächlicher Abschreibungsfaktor</t>
  </si>
  <si>
    <t>Unterschätzung</t>
  </si>
  <si>
    <t>Überschätz-ung der Nettoinvestitionen nach der Maurer-Methode</t>
  </si>
  <si>
    <t>Abschrei-bungen  Bauten</t>
  </si>
  <si>
    <t>Kapitalstock Ausrüst-ungen</t>
  </si>
  <si>
    <t>Abschreibungen Ausrüs-tungen</t>
  </si>
  <si>
    <t>Bruttoinvesti-tionen Total</t>
  </si>
  <si>
    <t>Nettoausrüs-tungen Ausrüstun-gen tatsächlich</t>
  </si>
  <si>
    <t>Tabelle 3 - Modifikation 1: Realistischer Rückgang der Bruttoinvestitionen in Bauten</t>
  </si>
  <si>
    <t>Tabelle 4 - Modifikation 2: Realistische Abschreibungsrate</t>
  </si>
  <si>
    <t>Tabelle 5 - Modifikation 3: Realistische Werte Kapitalstöcke, Bruttoinvestitionen und Abschreibungsquoten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</si>
</sst>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0" fillId="6" borderId="13" xfId="19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0" fillId="5" borderId="19" xfId="0" applyNumberFormat="1" applyFill="1" applyBorder="1" applyAlignment="1">
      <alignment horizontal="center"/>
    </xf>
    <xf numFmtId="1" fontId="0" fillId="4" borderId="16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0" fillId="4" borderId="18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" fontId="0" fillId="5" borderId="22" xfId="19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164" fontId="0" fillId="4" borderId="22" xfId="19" applyNumberFormat="1" applyFill="1" applyBorder="1" applyAlignment="1">
      <alignment horizontal="center"/>
    </xf>
    <xf numFmtId="1" fontId="0" fillId="5" borderId="22" xfId="0" applyNumberFormat="1" applyFill="1" applyBorder="1" applyAlignment="1">
      <alignment horizontal="center"/>
    </xf>
    <xf numFmtId="164" fontId="0" fillId="5" borderId="23" xfId="19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" fontId="0" fillId="5" borderId="4" xfId="19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" fontId="0" fillId="5" borderId="23" xfId="0" applyNumberFormat="1" applyFill="1" applyBorder="1" applyAlignment="1">
      <alignment horizontal="center"/>
    </xf>
    <xf numFmtId="1" fontId="0" fillId="7" borderId="22" xfId="19" applyNumberFormat="1" applyFill="1" applyBorder="1" applyAlignment="1">
      <alignment horizontal="center"/>
    </xf>
    <xf numFmtId="1" fontId="0" fillId="7" borderId="22" xfId="0" applyNumberFormat="1" applyFill="1" applyBorder="1" applyAlignment="1">
      <alignment horizontal="center"/>
    </xf>
    <xf numFmtId="164" fontId="0" fillId="7" borderId="22" xfId="19" applyNumberFormat="1" applyFill="1" applyBorder="1" applyAlignment="1">
      <alignment horizontal="center"/>
    </xf>
    <xf numFmtId="164" fontId="0" fillId="8" borderId="23" xfId="19" applyNumberFormat="1" applyFill="1" applyBorder="1" applyAlignment="1">
      <alignment horizontal="center"/>
    </xf>
    <xf numFmtId="164" fontId="0" fillId="8" borderId="23" xfId="19" applyNumberFormat="1" applyFont="1" applyFill="1" applyBorder="1" applyAlignment="1">
      <alignment horizontal="center"/>
    </xf>
    <xf numFmtId="164" fontId="0" fillId="7" borderId="23" xfId="19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4" borderId="25" xfId="0" applyNumberFormat="1" applyFill="1" applyBorder="1" applyAlignment="1">
      <alignment horizontal="center"/>
    </xf>
    <xf numFmtId="1" fontId="0" fillId="7" borderId="26" xfId="19" applyNumberFormat="1" applyFill="1" applyBorder="1" applyAlignment="1">
      <alignment horizontal="center"/>
    </xf>
    <xf numFmtId="1" fontId="0" fillId="4" borderId="27" xfId="0" applyNumberFormat="1" applyFill="1" applyBorder="1" applyAlignment="1">
      <alignment horizontal="center"/>
    </xf>
    <xf numFmtId="1" fontId="0" fillId="7" borderId="26" xfId="0" applyNumberFormat="1" applyFill="1" applyBorder="1" applyAlignment="1">
      <alignment horizontal="center"/>
    </xf>
    <xf numFmtId="164" fontId="0" fillId="7" borderId="26" xfId="19" applyNumberFormat="1" applyFill="1" applyBorder="1" applyAlignment="1">
      <alignment horizontal="center"/>
    </xf>
    <xf numFmtId="164" fontId="0" fillId="7" borderId="28" xfId="19" applyNumberFormat="1" applyFill="1" applyBorder="1" applyAlignment="1">
      <alignment horizontal="center"/>
    </xf>
    <xf numFmtId="1" fontId="0" fillId="5" borderId="29" xfId="19" applyNumberFormat="1" applyFill="1" applyBorder="1" applyAlignment="1">
      <alignment horizontal="center"/>
    </xf>
    <xf numFmtId="1" fontId="0" fillId="4" borderId="26" xfId="0" applyNumberFormat="1" applyFill="1" applyBorder="1" applyAlignment="1">
      <alignment horizontal="center"/>
    </xf>
    <xf numFmtId="164" fontId="0" fillId="4" borderId="26" xfId="19" applyNumberFormat="1" applyFill="1" applyBorder="1" applyAlignment="1">
      <alignment horizontal="center"/>
    </xf>
    <xf numFmtId="1" fontId="0" fillId="4" borderId="30" xfId="0" applyNumberFormat="1" applyFill="1" applyBorder="1" applyAlignment="1">
      <alignment horizontal="center"/>
    </xf>
    <xf numFmtId="1" fontId="0" fillId="4" borderId="29" xfId="0" applyNumberFormat="1" applyFill="1" applyBorder="1" applyAlignment="1">
      <alignment horizontal="center"/>
    </xf>
    <xf numFmtId="165" fontId="0" fillId="5" borderId="29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64" fontId="0" fillId="6" borderId="17" xfId="19" applyNumberForma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0" xfId="0" applyAlignment="1">
      <alignment horizontal="justify" vertical="distributed"/>
    </xf>
    <xf numFmtId="0" fontId="0" fillId="3" borderId="3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9" fontId="0" fillId="4" borderId="19" xfId="19" applyNumberFormat="1" applyFill="1" applyBorder="1" applyAlignment="1">
      <alignment horizontal="center"/>
    </xf>
    <xf numFmtId="9" fontId="0" fillId="0" borderId="0" xfId="19" applyAlignment="1">
      <alignment/>
    </xf>
    <xf numFmtId="165" fontId="0" fillId="0" borderId="0" xfId="0" applyNumberFormat="1" applyAlignment="1">
      <alignment/>
    </xf>
    <xf numFmtId="0" fontId="0" fillId="3" borderId="32" xfId="0" applyFill="1" applyBorder="1" applyAlignment="1">
      <alignment horizontal="center"/>
    </xf>
    <xf numFmtId="1" fontId="0" fillId="8" borderId="22" xfId="0" applyNumberFormat="1" applyFill="1" applyBorder="1" applyAlignment="1">
      <alignment horizontal="center"/>
    </xf>
    <xf numFmtId="164" fontId="0" fillId="4" borderId="23" xfId="19" applyNumberFormat="1" applyFill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9" fontId="0" fillId="4" borderId="23" xfId="19" applyNumberForma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1" fontId="0" fillId="8" borderId="26" xfId="0" applyNumberFormat="1" applyFill="1" applyBorder="1" applyAlignment="1">
      <alignment horizontal="center"/>
    </xf>
    <xf numFmtId="164" fontId="0" fillId="4" borderId="28" xfId="19" applyNumberFormat="1" applyFill="1" applyBorder="1" applyAlignment="1">
      <alignment horizontal="center"/>
    </xf>
    <xf numFmtId="1" fontId="0" fillId="4" borderId="28" xfId="0" applyNumberFormat="1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0" fontId="0" fillId="2" borderId="37" xfId="0" applyFill="1" applyBorder="1" applyAlignment="1">
      <alignment/>
    </xf>
    <xf numFmtId="1" fontId="0" fillId="8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4" fontId="0" fillId="0" borderId="22" xfId="19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12" xfId="19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9" borderId="41" xfId="0" applyNumberFormat="1" applyFill="1" applyBorder="1" applyAlignment="1">
      <alignment horizontal="center" vertical="justify" wrapText="1"/>
    </xf>
    <xf numFmtId="9" fontId="0" fillId="9" borderId="32" xfId="0" applyNumberFormat="1" applyFill="1" applyBorder="1" applyAlignment="1">
      <alignment horizontal="center" vertical="justify" wrapText="1"/>
    </xf>
    <xf numFmtId="9" fontId="0" fillId="9" borderId="36" xfId="0" applyNumberFormat="1" applyFill="1" applyBorder="1" applyAlignment="1">
      <alignment horizontal="center" vertical="justify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/>
    </xf>
    <xf numFmtId="0" fontId="0" fillId="4" borderId="27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5"/>
  <sheetViews>
    <sheetView tabSelected="1" workbookViewId="0" topLeftCell="A1">
      <selection activeCell="A35" sqref="A35"/>
    </sheetView>
  </sheetViews>
  <sheetFormatPr defaultColWidth="11.421875" defaultRowHeight="12.75"/>
  <cols>
    <col min="1" max="1" width="1.8515625" style="0" customWidth="1"/>
    <col min="4" max="4" width="11.8515625" style="0" customWidth="1"/>
    <col min="5" max="5" width="13.140625" style="0" customWidth="1"/>
    <col min="8" max="8" width="11.8515625" style="0" customWidth="1"/>
    <col min="9" max="9" width="13.57421875" style="0" customWidth="1"/>
    <col min="13" max="13" width="11.7109375" style="0" customWidth="1"/>
    <col min="20" max="20" width="12.57421875" style="0" customWidth="1"/>
    <col min="21" max="21" width="14.140625" style="0" customWidth="1"/>
  </cols>
  <sheetData>
    <row r="1" ht="13.5" thickBot="1"/>
    <row r="2" spans="2:22" ht="13.5" thickBot="1">
      <c r="B2" s="1" t="s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2:22" ht="13.5" thickBot="1">
      <c r="B3" s="4"/>
      <c r="C3" s="149" t="s">
        <v>0</v>
      </c>
      <c r="D3" s="150"/>
      <c r="E3" s="150"/>
      <c r="F3" s="150"/>
      <c r="G3" s="150"/>
      <c r="H3" s="150"/>
      <c r="I3" s="118"/>
      <c r="J3" s="149" t="s">
        <v>1</v>
      </c>
      <c r="K3" s="150"/>
      <c r="L3" s="150"/>
      <c r="M3" s="150"/>
      <c r="N3" s="150"/>
      <c r="O3" s="150"/>
      <c r="P3" s="118"/>
      <c r="Q3" s="149" t="s">
        <v>2</v>
      </c>
      <c r="R3" s="118"/>
      <c r="S3" s="149" t="s">
        <v>3</v>
      </c>
      <c r="T3" s="150"/>
      <c r="U3" s="150"/>
      <c r="V3" s="118"/>
    </row>
    <row r="4" spans="2:22" ht="51">
      <c r="B4" s="5" t="s">
        <v>30</v>
      </c>
      <c r="C4" s="6" t="s">
        <v>4</v>
      </c>
      <c r="D4" s="7" t="s">
        <v>5</v>
      </c>
      <c r="E4" s="8" t="s">
        <v>6</v>
      </c>
      <c r="F4" s="145" t="s">
        <v>7</v>
      </c>
      <c r="G4" s="146"/>
      <c r="H4" s="147" t="s">
        <v>8</v>
      </c>
      <c r="I4" s="148"/>
      <c r="J4" s="9" t="s">
        <v>9</v>
      </c>
      <c r="K4" s="7" t="s">
        <v>10</v>
      </c>
      <c r="L4" s="8" t="s">
        <v>11</v>
      </c>
      <c r="M4" s="145" t="s">
        <v>12</v>
      </c>
      <c r="N4" s="146"/>
      <c r="O4" s="147" t="s">
        <v>13</v>
      </c>
      <c r="P4" s="148"/>
      <c r="Q4" s="142" t="s">
        <v>14</v>
      </c>
      <c r="R4" s="143" t="s">
        <v>15</v>
      </c>
      <c r="S4" s="143" t="s">
        <v>16</v>
      </c>
      <c r="T4" s="143" t="s">
        <v>17</v>
      </c>
      <c r="U4" s="130" t="s">
        <v>18</v>
      </c>
      <c r="V4" s="132" t="s">
        <v>19</v>
      </c>
    </row>
    <row r="5" spans="2:22" ht="12.75">
      <c r="B5" s="10"/>
      <c r="C5" s="11"/>
      <c r="D5" s="12"/>
      <c r="E5" s="13">
        <f>0.03</f>
        <v>0.03</v>
      </c>
      <c r="F5" s="14" t="s">
        <v>20</v>
      </c>
      <c r="G5" s="14" t="s">
        <v>21</v>
      </c>
      <c r="H5" s="15" t="s">
        <v>20</v>
      </c>
      <c r="I5" s="16" t="s">
        <v>21</v>
      </c>
      <c r="J5" s="17"/>
      <c r="K5" s="12"/>
      <c r="L5" s="13">
        <f>0.1</f>
        <v>0.1</v>
      </c>
      <c r="M5" s="14" t="s">
        <v>20</v>
      </c>
      <c r="N5" s="14" t="s">
        <v>21</v>
      </c>
      <c r="O5" s="15" t="s">
        <v>20</v>
      </c>
      <c r="P5" s="16" t="s">
        <v>21</v>
      </c>
      <c r="Q5" s="137"/>
      <c r="R5" s="144"/>
      <c r="S5" s="144"/>
      <c r="T5" s="144"/>
      <c r="U5" s="131"/>
      <c r="V5" s="133"/>
    </row>
    <row r="6" spans="2:22" ht="12.75">
      <c r="B6" s="19">
        <v>1990</v>
      </c>
      <c r="C6" s="20">
        <v>4000</v>
      </c>
      <c r="D6" s="21">
        <f>C6</f>
        <v>4000</v>
      </c>
      <c r="E6" s="22">
        <f>C6*E$5</f>
        <v>120</v>
      </c>
      <c r="F6" s="23">
        <v>200</v>
      </c>
      <c r="G6" s="23"/>
      <c r="H6" s="24">
        <f>F6</f>
        <v>200</v>
      </c>
      <c r="I6" s="25"/>
      <c r="J6" s="26">
        <v>700</v>
      </c>
      <c r="K6" s="27">
        <f>J6</f>
        <v>700</v>
      </c>
      <c r="L6" s="23">
        <f aca="true" t="shared" si="0" ref="L6:L21">J6*L$5</f>
        <v>70</v>
      </c>
      <c r="M6" s="28">
        <v>84</v>
      </c>
      <c r="N6" s="23"/>
      <c r="O6" s="24">
        <f>M6</f>
        <v>84</v>
      </c>
      <c r="P6" s="25"/>
      <c r="Q6" s="29">
        <f>F6+M6</f>
        <v>284</v>
      </c>
      <c r="R6" s="30">
        <f>Q6-(E6+L6)</f>
        <v>94</v>
      </c>
      <c r="S6" s="23">
        <f>M6*(R6/Q6)</f>
        <v>27.802816901408452</v>
      </c>
      <c r="T6" s="28">
        <f>M6-L6</f>
        <v>14</v>
      </c>
      <c r="U6" s="31">
        <f>O6*(R6/Q6)</f>
        <v>27.802816901408452</v>
      </c>
      <c r="V6" s="25">
        <f>O6-L6</f>
        <v>14</v>
      </c>
    </row>
    <row r="7" spans="2:22" ht="12.75">
      <c r="B7" s="32">
        <v>1991</v>
      </c>
      <c r="C7" s="33">
        <f>C6+F6-E6</f>
        <v>4080</v>
      </c>
      <c r="D7" s="34">
        <f>C6+F6-E6</f>
        <v>4080</v>
      </c>
      <c r="E7" s="35">
        <f>C7*E$5</f>
        <v>122.39999999999999</v>
      </c>
      <c r="F7" s="36">
        <v>204</v>
      </c>
      <c r="G7" s="37">
        <f>F7/F6-1</f>
        <v>0.020000000000000018</v>
      </c>
      <c r="H7" s="38">
        <f>F7</f>
        <v>204</v>
      </c>
      <c r="I7" s="39">
        <f>H7/H6-1</f>
        <v>0.020000000000000018</v>
      </c>
      <c r="J7" s="40">
        <v>714</v>
      </c>
      <c r="K7" s="41">
        <f aca="true" t="shared" si="1" ref="K7:K21">J6+M6-L6</f>
        <v>714</v>
      </c>
      <c r="L7" s="36">
        <f t="shared" si="0"/>
        <v>71.4</v>
      </c>
      <c r="M7" s="35">
        <v>85.7</v>
      </c>
      <c r="N7" s="37">
        <f>M7/M6-1</f>
        <v>0.020238095238095166</v>
      </c>
      <c r="O7" s="38">
        <f>M7</f>
        <v>85.7</v>
      </c>
      <c r="P7" s="39">
        <f>O7/O6-1</f>
        <v>0.020238095238095166</v>
      </c>
      <c r="Q7" s="42">
        <f>F7+M7</f>
        <v>289.7</v>
      </c>
      <c r="R7" s="43">
        <f>Q7-(E7+L7)</f>
        <v>95.89999999999998</v>
      </c>
      <c r="S7" s="36">
        <f>M7*(R7/Q7)</f>
        <v>28.369451156368655</v>
      </c>
      <c r="T7" s="35">
        <f>M7-L7</f>
        <v>14.299999999999997</v>
      </c>
      <c r="U7" s="44">
        <f>O7*(R7/Q7)</f>
        <v>28.369451156368655</v>
      </c>
      <c r="V7" s="45">
        <f aca="true" t="shared" si="2" ref="V7:V21">O7-L7</f>
        <v>14.299999999999997</v>
      </c>
    </row>
    <row r="8" spans="2:22" ht="12.75">
      <c r="B8" s="32">
        <v>1992</v>
      </c>
      <c r="C8" s="40">
        <f aca="true" t="shared" si="3" ref="C8:C21">C7+F7-E7</f>
        <v>4161.6</v>
      </c>
      <c r="D8" s="34">
        <f>C7+F7-E7</f>
        <v>4161.6</v>
      </c>
      <c r="E8" s="35">
        <f>C8*E$5</f>
        <v>124.84800000000001</v>
      </c>
      <c r="F8" s="36">
        <v>208.1</v>
      </c>
      <c r="G8" s="37">
        <f aca="true" t="shared" si="4" ref="G8:G21">F8/F7-1</f>
        <v>0.020098039215686203</v>
      </c>
      <c r="H8" s="38">
        <f>F8</f>
        <v>208.1</v>
      </c>
      <c r="I8" s="39">
        <f>H8/H7-1</f>
        <v>0.020098039215686203</v>
      </c>
      <c r="J8" s="40">
        <v>728.3</v>
      </c>
      <c r="K8" s="41">
        <f t="shared" si="1"/>
        <v>728.3000000000001</v>
      </c>
      <c r="L8" s="36">
        <f t="shared" si="0"/>
        <v>72.83</v>
      </c>
      <c r="M8" s="35">
        <v>87.4</v>
      </c>
      <c r="N8" s="37">
        <f aca="true" t="shared" si="5" ref="N8:N21">M8/M7-1</f>
        <v>0.019836639439906767</v>
      </c>
      <c r="O8" s="38">
        <f>M8</f>
        <v>87.4</v>
      </c>
      <c r="P8" s="39">
        <f>O8/O7-1</f>
        <v>0.019836639439906767</v>
      </c>
      <c r="Q8" s="42">
        <f>F8+M8</f>
        <v>295.5</v>
      </c>
      <c r="R8" s="43">
        <f>Q8-(E8+L8)</f>
        <v>97.822</v>
      </c>
      <c r="S8" s="36">
        <f aca="true" t="shared" si="6" ref="S8:S21">M8*(R8/Q8)</f>
        <v>28.932801353637906</v>
      </c>
      <c r="T8" s="35">
        <f>M8-L8</f>
        <v>14.570000000000007</v>
      </c>
      <c r="U8" s="44">
        <f>O8*(R8/Q8)</f>
        <v>28.932801353637906</v>
      </c>
      <c r="V8" s="45">
        <f t="shared" si="2"/>
        <v>14.570000000000007</v>
      </c>
    </row>
    <row r="9" spans="2:22" ht="12.75">
      <c r="B9" s="32">
        <v>1993</v>
      </c>
      <c r="C9" s="40">
        <f t="shared" si="3"/>
        <v>4244.852000000001</v>
      </c>
      <c r="D9" s="34">
        <f>C8+F8-E8</f>
        <v>4244.852000000001</v>
      </c>
      <c r="E9" s="35">
        <f aca="true" t="shared" si="7" ref="E9:E21">C9*E$5</f>
        <v>127.34556000000002</v>
      </c>
      <c r="F9" s="36">
        <v>212.2</v>
      </c>
      <c r="G9" s="37">
        <f t="shared" si="4"/>
        <v>0.01970206631427196</v>
      </c>
      <c r="H9" s="38">
        <f>F9</f>
        <v>212.2</v>
      </c>
      <c r="I9" s="39">
        <f>H9/H8-1</f>
        <v>0.01970206631427196</v>
      </c>
      <c r="J9" s="40">
        <v>742.8</v>
      </c>
      <c r="K9" s="41">
        <f t="shared" si="1"/>
        <v>742.8699999999999</v>
      </c>
      <c r="L9" s="36">
        <f t="shared" si="0"/>
        <v>74.28</v>
      </c>
      <c r="M9" s="35">
        <v>89.1</v>
      </c>
      <c r="N9" s="37">
        <f t="shared" si="5"/>
        <v>0.01945080091533158</v>
      </c>
      <c r="O9" s="38">
        <f>M9</f>
        <v>89.1</v>
      </c>
      <c r="P9" s="39">
        <f>O9/O8-1</f>
        <v>0.01945080091533158</v>
      </c>
      <c r="Q9" s="42">
        <f aca="true" t="shared" si="8" ref="Q9:Q21">F9+M9</f>
        <v>301.29999999999995</v>
      </c>
      <c r="R9" s="43">
        <f>Q9-(E9+L9)</f>
        <v>99.67443999999995</v>
      </c>
      <c r="S9" s="36">
        <f t="shared" si="6"/>
        <v>29.47558116163291</v>
      </c>
      <c r="T9" s="35">
        <f aca="true" t="shared" si="9" ref="T9:T21">M9-L9</f>
        <v>14.819999999999993</v>
      </c>
      <c r="U9" s="44">
        <f>O9*(R9/Q9)</f>
        <v>29.47558116163291</v>
      </c>
      <c r="V9" s="45">
        <f t="shared" si="2"/>
        <v>14.819999999999993</v>
      </c>
    </row>
    <row r="10" spans="2:22" ht="12.75">
      <c r="B10" s="32">
        <v>1994</v>
      </c>
      <c r="C10" s="40">
        <f t="shared" si="3"/>
        <v>4329.706440000001</v>
      </c>
      <c r="D10" s="34">
        <f>C9+F9-E9</f>
        <v>4329.706440000001</v>
      </c>
      <c r="E10" s="35">
        <f t="shared" si="7"/>
        <v>129.89119320000003</v>
      </c>
      <c r="F10" s="36">
        <v>216.5</v>
      </c>
      <c r="G10" s="37">
        <f t="shared" si="4"/>
        <v>0.020263901979264975</v>
      </c>
      <c r="H10" s="38">
        <f>F10</f>
        <v>216.5</v>
      </c>
      <c r="I10" s="39">
        <f>H10/H9-1</f>
        <v>0.020263901979264975</v>
      </c>
      <c r="J10" s="40">
        <v>757.7</v>
      </c>
      <c r="K10" s="41">
        <f t="shared" si="1"/>
        <v>757.62</v>
      </c>
      <c r="L10" s="36">
        <f t="shared" si="0"/>
        <v>75.77000000000001</v>
      </c>
      <c r="M10" s="35">
        <v>90.9</v>
      </c>
      <c r="N10" s="37">
        <f t="shared" si="5"/>
        <v>0.020202020202020332</v>
      </c>
      <c r="O10" s="38">
        <f>M10</f>
        <v>90.9</v>
      </c>
      <c r="P10" s="39">
        <f>O10/O9-1</f>
        <v>0.020202020202020332</v>
      </c>
      <c r="Q10" s="42">
        <f t="shared" si="8"/>
        <v>307.4</v>
      </c>
      <c r="R10" s="43">
        <f aca="true" t="shared" si="10" ref="R10:R21">Q10-(E10+L10)</f>
        <v>101.73880679999994</v>
      </c>
      <c r="S10" s="36">
        <f t="shared" si="6"/>
        <v>30.084767528041624</v>
      </c>
      <c r="T10" s="35">
        <f t="shared" si="9"/>
        <v>15.129999999999995</v>
      </c>
      <c r="U10" s="44">
        <f aca="true" t="shared" si="11" ref="U10:U21">O10*(R10/Q10)</f>
        <v>30.084767528041624</v>
      </c>
      <c r="V10" s="45">
        <f t="shared" si="2"/>
        <v>15.129999999999995</v>
      </c>
    </row>
    <row r="11" spans="2:22" ht="12.75">
      <c r="B11" s="32">
        <v>1995</v>
      </c>
      <c r="C11" s="40">
        <f t="shared" si="3"/>
        <v>4416.315246800001</v>
      </c>
      <c r="D11" s="46">
        <f>C10+H11-E10</f>
        <v>4408.942354446476</v>
      </c>
      <c r="E11" s="35">
        <f t="shared" si="7"/>
        <v>132.489457404</v>
      </c>
      <c r="F11" s="47">
        <v>143.5</v>
      </c>
      <c r="G11" s="48">
        <f t="shared" si="4"/>
        <v>-0.3371824480369515</v>
      </c>
      <c r="H11" s="47">
        <f>H10*(1+I11)</f>
        <v>209.12710764647557</v>
      </c>
      <c r="I11" s="49">
        <f>(E63/E58)^(1/5)-1</f>
        <v>-0.034054930039373876</v>
      </c>
      <c r="J11" s="40">
        <v>772.9</v>
      </c>
      <c r="K11" s="41">
        <f t="shared" si="1"/>
        <v>772.83</v>
      </c>
      <c r="L11" s="36">
        <f t="shared" si="0"/>
        <v>77.29</v>
      </c>
      <c r="M11" s="35">
        <v>92.7</v>
      </c>
      <c r="N11" s="37">
        <f t="shared" si="5"/>
        <v>0.01980198019801982</v>
      </c>
      <c r="O11" s="47">
        <f>O10*(1+P11)</f>
        <v>89.2612802426127</v>
      </c>
      <c r="P11" s="50">
        <f>(I63/I58)^(1/5)-1</f>
        <v>-0.018027720103270695</v>
      </c>
      <c r="Q11" s="42">
        <f t="shared" si="8"/>
        <v>236.2</v>
      </c>
      <c r="R11" s="43">
        <f t="shared" si="10"/>
        <v>26.42054259599996</v>
      </c>
      <c r="S11" s="36">
        <f t="shared" si="6"/>
        <v>10.369112187337835</v>
      </c>
      <c r="T11" s="35">
        <f t="shared" si="9"/>
        <v>15.409999999999997</v>
      </c>
      <c r="U11" s="44">
        <f t="shared" si="11"/>
        <v>9.984468487821502</v>
      </c>
      <c r="V11" s="45">
        <f t="shared" si="2"/>
        <v>11.971280242612693</v>
      </c>
    </row>
    <row r="12" spans="2:22" ht="12.75">
      <c r="B12" s="32">
        <v>1996</v>
      </c>
      <c r="C12" s="40">
        <f t="shared" si="3"/>
        <v>4427.325789396001</v>
      </c>
      <c r="D12" s="46">
        <f aca="true" t="shared" si="12" ref="D12:D21">C11+H12-E11</f>
        <v>4485.831088022239</v>
      </c>
      <c r="E12" s="35">
        <f t="shared" si="7"/>
        <v>132.81977368188</v>
      </c>
      <c r="F12" s="47">
        <v>143.9</v>
      </c>
      <c r="G12" s="48">
        <f t="shared" si="4"/>
        <v>0.0027874564459930973</v>
      </c>
      <c r="H12" s="47">
        <f>H11*(1+I12)</f>
        <v>202.00529862623824</v>
      </c>
      <c r="I12" s="51">
        <f>I11</f>
        <v>-0.034054930039373876</v>
      </c>
      <c r="J12" s="40">
        <v>788.3</v>
      </c>
      <c r="K12" s="41">
        <f t="shared" si="1"/>
        <v>788.3100000000001</v>
      </c>
      <c r="L12" s="36">
        <f t="shared" si="0"/>
        <v>78.83</v>
      </c>
      <c r="M12" s="35">
        <v>94.6</v>
      </c>
      <c r="N12" s="37">
        <f t="shared" si="5"/>
        <v>0.02049622437971954</v>
      </c>
      <c r="O12" s="47">
        <f>O11*(1+P12)</f>
        <v>87.65210286633928</v>
      </c>
      <c r="P12" s="51">
        <f>P11</f>
        <v>-0.018027720103270695</v>
      </c>
      <c r="Q12" s="42">
        <f t="shared" si="8"/>
        <v>238.5</v>
      </c>
      <c r="R12" s="43">
        <f t="shared" si="10"/>
        <v>26.850226318120008</v>
      </c>
      <c r="S12" s="36">
        <f t="shared" si="6"/>
        <v>10.650026875027892</v>
      </c>
      <c r="T12" s="35">
        <f t="shared" si="9"/>
        <v>15.769999999999996</v>
      </c>
      <c r="U12" s="44">
        <f t="shared" si="11"/>
        <v>9.867835636144004</v>
      </c>
      <c r="V12" s="45">
        <f t="shared" si="2"/>
        <v>8.822102866339279</v>
      </c>
    </row>
    <row r="13" spans="2:22" ht="12.75">
      <c r="B13" s="32">
        <v>1997</v>
      </c>
      <c r="C13" s="40">
        <f t="shared" si="3"/>
        <v>4438.40601571412</v>
      </c>
      <c r="D13" s="46">
        <f t="shared" si="12"/>
        <v>4489.6320380280595</v>
      </c>
      <c r="E13" s="35">
        <f t="shared" si="7"/>
        <v>133.1521804714236</v>
      </c>
      <c r="F13" s="47">
        <v>144.2</v>
      </c>
      <c r="G13" s="48">
        <f t="shared" si="4"/>
        <v>0.0020847810979844894</v>
      </c>
      <c r="H13" s="47">
        <f aca="true" t="shared" si="13" ref="H13:H21">H12*(1+I13)</f>
        <v>195.12602231393888</v>
      </c>
      <c r="I13" s="51">
        <f aca="true" t="shared" si="14" ref="I13:I21">I12</f>
        <v>-0.034054930039373876</v>
      </c>
      <c r="J13" s="40">
        <v>804.1</v>
      </c>
      <c r="K13" s="41">
        <f t="shared" si="1"/>
        <v>804.0699999999999</v>
      </c>
      <c r="L13" s="36">
        <f t="shared" si="0"/>
        <v>80.41000000000001</v>
      </c>
      <c r="M13" s="35">
        <v>96.5</v>
      </c>
      <c r="N13" s="37">
        <f t="shared" si="5"/>
        <v>0.02008456659619462</v>
      </c>
      <c r="O13" s="47">
        <f aca="true" t="shared" si="15" ref="O13:O21">O12*(1+P13)</f>
        <v>86.07193528940182</v>
      </c>
      <c r="P13" s="51">
        <f aca="true" t="shared" si="16" ref="P13:P21">P12</f>
        <v>-0.018027720103270695</v>
      </c>
      <c r="Q13" s="42">
        <f t="shared" si="8"/>
        <v>240.7</v>
      </c>
      <c r="R13" s="43">
        <f t="shared" si="10"/>
        <v>27.137819528576358</v>
      </c>
      <c r="S13" s="36">
        <f t="shared" si="6"/>
        <v>10.879931801028745</v>
      </c>
      <c r="T13" s="35">
        <f t="shared" si="9"/>
        <v>16.08999999999999</v>
      </c>
      <c r="U13" s="44">
        <f t="shared" si="11"/>
        <v>9.704215398251307</v>
      </c>
      <c r="V13" s="45">
        <f t="shared" si="2"/>
        <v>5.661935289401811</v>
      </c>
    </row>
    <row r="14" spans="2:22" ht="12.75">
      <c r="B14" s="32">
        <v>1998</v>
      </c>
      <c r="C14" s="40">
        <f t="shared" si="3"/>
        <v>4449.453835242696</v>
      </c>
      <c r="D14" s="46">
        <f t="shared" si="12"/>
        <v>4493.734854517873</v>
      </c>
      <c r="E14" s="35">
        <f t="shared" si="7"/>
        <v>133.48361505728087</v>
      </c>
      <c r="F14" s="47">
        <v>144.6</v>
      </c>
      <c r="G14" s="48">
        <f t="shared" si="4"/>
        <v>0.00277392510402219</v>
      </c>
      <c r="H14" s="47">
        <f t="shared" si="13"/>
        <v>188.48101927517638</v>
      </c>
      <c r="I14" s="51">
        <f t="shared" si="14"/>
        <v>-0.034054930039373876</v>
      </c>
      <c r="J14" s="40">
        <v>820.2</v>
      </c>
      <c r="K14" s="41">
        <f t="shared" si="1"/>
        <v>820.19</v>
      </c>
      <c r="L14" s="36">
        <f t="shared" si="0"/>
        <v>82.02000000000001</v>
      </c>
      <c r="M14" s="35">
        <v>98.4</v>
      </c>
      <c r="N14" s="37">
        <f t="shared" si="5"/>
        <v>0.01968911917098448</v>
      </c>
      <c r="O14" s="47">
        <f t="shared" si="15"/>
        <v>84.52025453125766</v>
      </c>
      <c r="P14" s="51">
        <f t="shared" si="16"/>
        <v>-0.018027720103270695</v>
      </c>
      <c r="Q14" s="42">
        <f t="shared" si="8"/>
        <v>243</v>
      </c>
      <c r="R14" s="43">
        <f t="shared" si="10"/>
        <v>27.496384942719118</v>
      </c>
      <c r="S14" s="36">
        <f t="shared" si="6"/>
        <v>11.13433859408873</v>
      </c>
      <c r="T14" s="35">
        <f t="shared" si="9"/>
        <v>16.379999999999995</v>
      </c>
      <c r="U14" s="44">
        <f t="shared" si="11"/>
        <v>9.563791991967328</v>
      </c>
      <c r="V14" s="45">
        <f t="shared" si="2"/>
        <v>2.500254531257653</v>
      </c>
    </row>
    <row r="15" spans="2:22" ht="12.75">
      <c r="B15" s="32">
        <v>1999</v>
      </c>
      <c r="C15" s="40">
        <f t="shared" si="3"/>
        <v>4460.570220185416</v>
      </c>
      <c r="D15" s="46">
        <f t="shared" si="12"/>
        <v>4498.032531535426</v>
      </c>
      <c r="E15" s="35">
        <f t="shared" si="7"/>
        <v>133.81710660556246</v>
      </c>
      <c r="F15" s="47">
        <v>145</v>
      </c>
      <c r="G15" s="48">
        <f t="shared" si="4"/>
        <v>0.0027662517289073207</v>
      </c>
      <c r="H15" s="47">
        <f t="shared" si="13"/>
        <v>182.06231135001036</v>
      </c>
      <c r="I15" s="51">
        <f t="shared" si="14"/>
        <v>-0.034054930039373876</v>
      </c>
      <c r="J15" s="40">
        <v>836.6</v>
      </c>
      <c r="K15" s="41">
        <f t="shared" si="1"/>
        <v>836.58</v>
      </c>
      <c r="L15" s="36">
        <f t="shared" si="0"/>
        <v>83.66000000000001</v>
      </c>
      <c r="M15" s="35">
        <v>100.4</v>
      </c>
      <c r="N15" s="37">
        <f t="shared" si="5"/>
        <v>0.020325203252032464</v>
      </c>
      <c r="O15" s="47">
        <f t="shared" si="15"/>
        <v>82.99654703951096</v>
      </c>
      <c r="P15" s="51">
        <f t="shared" si="16"/>
        <v>-0.018027720103270695</v>
      </c>
      <c r="Q15" s="42">
        <f t="shared" si="8"/>
        <v>245.4</v>
      </c>
      <c r="R15" s="43">
        <f t="shared" si="10"/>
        <v>27.922893394437523</v>
      </c>
      <c r="S15" s="36">
        <f t="shared" si="6"/>
        <v>11.424036254284953</v>
      </c>
      <c r="T15" s="35">
        <f t="shared" si="9"/>
        <v>16.739999999999995</v>
      </c>
      <c r="U15" s="44">
        <f t="shared" si="11"/>
        <v>9.443780501592029</v>
      </c>
      <c r="V15" s="45">
        <f t="shared" si="2"/>
        <v>-0.6634529604890531</v>
      </c>
    </row>
    <row r="16" spans="2:22" ht="12.75">
      <c r="B16" s="32">
        <v>2000</v>
      </c>
      <c r="C16" s="40">
        <f t="shared" si="3"/>
        <v>4471.753113579853</v>
      </c>
      <c r="D16" s="46">
        <f t="shared" si="12"/>
        <v>4502.6153056540315</v>
      </c>
      <c r="E16" s="35">
        <f t="shared" si="7"/>
        <v>134.15259340739559</v>
      </c>
      <c r="F16" s="47">
        <v>145.3</v>
      </c>
      <c r="G16" s="48">
        <f t="shared" si="4"/>
        <v>0.00206896551724145</v>
      </c>
      <c r="H16" s="47">
        <f t="shared" si="13"/>
        <v>175.86219207417906</v>
      </c>
      <c r="I16" s="51">
        <f t="shared" si="14"/>
        <v>-0.034054930039373876</v>
      </c>
      <c r="J16" s="40">
        <v>853.3</v>
      </c>
      <c r="K16" s="41">
        <f t="shared" si="1"/>
        <v>853.34</v>
      </c>
      <c r="L16" s="36">
        <f t="shared" si="0"/>
        <v>85.33</v>
      </c>
      <c r="M16" s="35">
        <v>102.4</v>
      </c>
      <c r="N16" s="37">
        <f t="shared" si="5"/>
        <v>0.019920318725099584</v>
      </c>
      <c r="O16" s="47">
        <f t="shared" si="15"/>
        <v>81.50030851994471</v>
      </c>
      <c r="P16" s="51">
        <f t="shared" si="16"/>
        <v>-0.018027720103270695</v>
      </c>
      <c r="Q16" s="42">
        <f t="shared" si="8"/>
        <v>247.70000000000002</v>
      </c>
      <c r="R16" s="43">
        <f t="shared" si="10"/>
        <v>28.21740659260442</v>
      </c>
      <c r="S16" s="36">
        <f t="shared" si="6"/>
        <v>11.665169297871184</v>
      </c>
      <c r="T16" s="35">
        <f t="shared" si="9"/>
        <v>17.070000000000007</v>
      </c>
      <c r="U16" s="44">
        <f t="shared" si="11"/>
        <v>9.284325163221565</v>
      </c>
      <c r="V16" s="45">
        <f t="shared" si="2"/>
        <v>-3.8296914800552884</v>
      </c>
    </row>
    <row r="17" spans="2:22" ht="12.75">
      <c r="B17" s="32">
        <v>2001</v>
      </c>
      <c r="C17" s="40">
        <f t="shared" si="3"/>
        <v>4482.900520172458</v>
      </c>
      <c r="D17" s="46">
        <f t="shared" si="12"/>
        <v>4507.47373759898</v>
      </c>
      <c r="E17" s="35">
        <f t="shared" si="7"/>
        <v>134.48701560517372</v>
      </c>
      <c r="F17" s="47">
        <v>145.7</v>
      </c>
      <c r="G17" s="48">
        <f t="shared" si="4"/>
        <v>0.0027529249827940028</v>
      </c>
      <c r="H17" s="47">
        <f t="shared" si="13"/>
        <v>169.87321742652196</v>
      </c>
      <c r="I17" s="51">
        <f t="shared" si="14"/>
        <v>-0.034054930039373876</v>
      </c>
      <c r="J17" s="40">
        <v>870.4</v>
      </c>
      <c r="K17" s="41">
        <f t="shared" si="1"/>
        <v>870.3699999999999</v>
      </c>
      <c r="L17" s="36">
        <f t="shared" si="0"/>
        <v>87.04</v>
      </c>
      <c r="M17" s="35">
        <v>104.4</v>
      </c>
      <c r="N17" s="37">
        <f t="shared" si="5"/>
        <v>0.01953125</v>
      </c>
      <c r="O17" s="47">
        <f t="shared" si="15"/>
        <v>80.03104376961694</v>
      </c>
      <c r="P17" s="51">
        <f t="shared" si="16"/>
        <v>-0.018027720103270695</v>
      </c>
      <c r="Q17" s="42">
        <f t="shared" si="8"/>
        <v>250.1</v>
      </c>
      <c r="R17" s="43">
        <f t="shared" si="10"/>
        <v>28.57298439482625</v>
      </c>
      <c r="S17" s="36">
        <f t="shared" si="6"/>
        <v>11.927307360335307</v>
      </c>
      <c r="T17" s="35">
        <f t="shared" si="9"/>
        <v>17.36</v>
      </c>
      <c r="U17" s="44">
        <f t="shared" si="11"/>
        <v>9.143245760619438</v>
      </c>
      <c r="V17" s="45">
        <f t="shared" si="2"/>
        <v>-7.008956230383063</v>
      </c>
    </row>
    <row r="18" spans="2:22" ht="12.75">
      <c r="B18" s="32">
        <v>2002</v>
      </c>
      <c r="C18" s="40">
        <f t="shared" si="3"/>
        <v>4494.113504567284</v>
      </c>
      <c r="D18" s="46">
        <f t="shared" si="12"/>
        <v>4512.501701458782</v>
      </c>
      <c r="E18" s="35">
        <f t="shared" si="7"/>
        <v>134.8234051370185</v>
      </c>
      <c r="F18" s="47">
        <v>146.1</v>
      </c>
      <c r="G18" s="48">
        <f t="shared" si="4"/>
        <v>0.0027453671928621137</v>
      </c>
      <c r="H18" s="47">
        <f t="shared" si="13"/>
        <v>164.0881968914984</v>
      </c>
      <c r="I18" s="51">
        <f t="shared" si="14"/>
        <v>-0.034054930039373876</v>
      </c>
      <c r="J18" s="40">
        <v>887.8</v>
      </c>
      <c r="K18" s="41">
        <f t="shared" si="1"/>
        <v>887.76</v>
      </c>
      <c r="L18" s="36">
        <f t="shared" si="0"/>
        <v>88.78</v>
      </c>
      <c r="M18" s="35">
        <v>106.5</v>
      </c>
      <c r="N18" s="37">
        <f t="shared" si="5"/>
        <v>0.02011494252873547</v>
      </c>
      <c r="O18" s="47">
        <f t="shared" si="15"/>
        <v>78.58826651296569</v>
      </c>
      <c r="P18" s="51">
        <f t="shared" si="16"/>
        <v>-0.018027720103270695</v>
      </c>
      <c r="Q18" s="42">
        <f t="shared" si="8"/>
        <v>252.6</v>
      </c>
      <c r="R18" s="43">
        <f t="shared" si="10"/>
        <v>28.996594862981482</v>
      </c>
      <c r="S18" s="36">
        <f t="shared" si="6"/>
        <v>12.225405197575329</v>
      </c>
      <c r="T18" s="35">
        <f t="shared" si="9"/>
        <v>17.72</v>
      </c>
      <c r="U18" s="44">
        <f t="shared" si="11"/>
        <v>9.021346496676488</v>
      </c>
      <c r="V18" s="45">
        <f t="shared" si="2"/>
        <v>-10.191733487034313</v>
      </c>
    </row>
    <row r="19" spans="2:22" ht="12.75">
      <c r="B19" s="32">
        <v>2003</v>
      </c>
      <c r="C19" s="40">
        <f t="shared" si="3"/>
        <v>4505.390099430266</v>
      </c>
      <c r="D19" s="46">
        <f t="shared" si="12"/>
        <v>4517.790284256337</v>
      </c>
      <c r="E19" s="35">
        <f t="shared" si="7"/>
        <v>135.16170298290797</v>
      </c>
      <c r="F19" s="47">
        <v>146.4</v>
      </c>
      <c r="G19" s="48">
        <f t="shared" si="4"/>
        <v>0.002053388090349051</v>
      </c>
      <c r="H19" s="47">
        <f t="shared" si="13"/>
        <v>158.5001848260714</v>
      </c>
      <c r="I19" s="51">
        <f t="shared" si="14"/>
        <v>-0.034054930039373876</v>
      </c>
      <c r="J19" s="40">
        <v>905.5</v>
      </c>
      <c r="K19" s="41">
        <f t="shared" si="1"/>
        <v>905.52</v>
      </c>
      <c r="L19" s="36">
        <f t="shared" si="0"/>
        <v>90.55000000000001</v>
      </c>
      <c r="M19" s="35">
        <v>108.7</v>
      </c>
      <c r="N19" s="37">
        <f t="shared" si="5"/>
        <v>0.020657276995305285</v>
      </c>
      <c r="O19" s="47">
        <f t="shared" si="15"/>
        <v>77.1714992408687</v>
      </c>
      <c r="P19" s="51">
        <f t="shared" si="16"/>
        <v>-0.018027720103270695</v>
      </c>
      <c r="Q19" s="42">
        <f t="shared" si="8"/>
        <v>255.10000000000002</v>
      </c>
      <c r="R19" s="43">
        <f t="shared" si="10"/>
        <v>29.388297017092043</v>
      </c>
      <c r="S19" s="36">
        <f t="shared" si="6"/>
        <v>12.52257109273973</v>
      </c>
      <c r="T19" s="35">
        <f t="shared" si="9"/>
        <v>18.14999999999999</v>
      </c>
      <c r="U19" s="44">
        <f t="shared" si="11"/>
        <v>8.890391771638347</v>
      </c>
      <c r="V19" s="45">
        <f t="shared" si="2"/>
        <v>-13.378500759131313</v>
      </c>
    </row>
    <row r="20" spans="2:22" ht="12.75">
      <c r="B20" s="32">
        <v>2004</v>
      </c>
      <c r="C20" s="40">
        <f t="shared" si="3"/>
        <v>4516.628396447358</v>
      </c>
      <c r="D20" s="46">
        <f t="shared" si="12"/>
        <v>4523.330868567949</v>
      </c>
      <c r="E20" s="35">
        <f t="shared" si="7"/>
        <v>135.49885189342072</v>
      </c>
      <c r="F20" s="47">
        <v>146.8</v>
      </c>
      <c r="G20" s="48">
        <f t="shared" si="4"/>
        <v>0.002732240437158584</v>
      </c>
      <c r="H20" s="47">
        <f t="shared" si="13"/>
        <v>153.10247212059173</v>
      </c>
      <c r="I20" s="51">
        <f t="shared" si="14"/>
        <v>-0.034054930039373876</v>
      </c>
      <c r="J20" s="40">
        <v>923.6</v>
      </c>
      <c r="K20" s="41">
        <f t="shared" si="1"/>
        <v>923.6500000000001</v>
      </c>
      <c r="L20" s="36">
        <f t="shared" si="0"/>
        <v>92.36000000000001</v>
      </c>
      <c r="M20" s="35">
        <v>110.8</v>
      </c>
      <c r="N20" s="37">
        <f t="shared" si="5"/>
        <v>0.01931922723091062</v>
      </c>
      <c r="O20" s="47">
        <f t="shared" si="15"/>
        <v>75.78027305260456</v>
      </c>
      <c r="P20" s="51">
        <f t="shared" si="16"/>
        <v>-0.018027720103270695</v>
      </c>
      <c r="Q20" s="42">
        <f t="shared" si="8"/>
        <v>257.6</v>
      </c>
      <c r="R20" s="43">
        <f t="shared" si="10"/>
        <v>29.74114810657929</v>
      </c>
      <c r="S20" s="36">
        <f t="shared" si="6"/>
        <v>12.792388238388915</v>
      </c>
      <c r="T20" s="35">
        <f t="shared" si="9"/>
        <v>18.439999999999984</v>
      </c>
      <c r="U20" s="44">
        <f t="shared" si="11"/>
        <v>8.749193805957031</v>
      </c>
      <c r="V20" s="45">
        <f t="shared" si="2"/>
        <v>-16.579726947395457</v>
      </c>
    </row>
    <row r="21" spans="2:22" ht="13.5" thickBot="1">
      <c r="B21" s="52">
        <v>2005</v>
      </c>
      <c r="C21" s="53">
        <f t="shared" si="3"/>
        <v>4527.929544553937</v>
      </c>
      <c r="D21" s="54">
        <f t="shared" si="12"/>
        <v>4529.018122697607</v>
      </c>
      <c r="E21" s="55">
        <f t="shared" si="7"/>
        <v>135.8378863366181</v>
      </c>
      <c r="F21" s="56">
        <v>147.2</v>
      </c>
      <c r="G21" s="57">
        <f t="shared" si="4"/>
        <v>0.0027247956403269047</v>
      </c>
      <c r="H21" s="56">
        <f t="shared" si="13"/>
        <v>147.88857814366978</v>
      </c>
      <c r="I21" s="58">
        <f t="shared" si="14"/>
        <v>-0.034054930039373876</v>
      </c>
      <c r="J21" s="53">
        <v>942.1</v>
      </c>
      <c r="K21" s="59">
        <f t="shared" si="1"/>
        <v>942.0400000000001</v>
      </c>
      <c r="L21" s="60">
        <f t="shared" si="0"/>
        <v>94.21000000000001</v>
      </c>
      <c r="M21" s="55">
        <v>113.1</v>
      </c>
      <c r="N21" s="61">
        <f t="shared" si="5"/>
        <v>0.020758122743682383</v>
      </c>
      <c r="O21" s="56">
        <f t="shared" si="15"/>
        <v>74.41412750066277</v>
      </c>
      <c r="P21" s="58">
        <f t="shared" si="16"/>
        <v>-0.018027720103270695</v>
      </c>
      <c r="Q21" s="62">
        <f t="shared" si="8"/>
        <v>260.29999999999995</v>
      </c>
      <c r="R21" s="63">
        <f t="shared" si="10"/>
        <v>30.252113663381834</v>
      </c>
      <c r="S21" s="60">
        <f t="shared" si="6"/>
        <v>13.14450270967532</v>
      </c>
      <c r="T21" s="55">
        <f t="shared" si="9"/>
        <v>18.889999999999986</v>
      </c>
      <c r="U21" s="64">
        <f t="shared" si="11"/>
        <v>8.648423524054701</v>
      </c>
      <c r="V21" s="65">
        <f t="shared" si="2"/>
        <v>-19.795872499337236</v>
      </c>
    </row>
    <row r="22" spans="6:20" ht="12.75"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ht="13.5" thickBot="1"/>
    <row r="24" spans="2:22" ht="13.5" thickBot="1">
      <c r="B24" s="1" t="s">
        <v>41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2:22" ht="13.5" thickBot="1">
      <c r="B25" s="5"/>
      <c r="C25" s="124" t="s">
        <v>0</v>
      </c>
      <c r="D25" s="125"/>
      <c r="E25" s="125"/>
      <c r="F25" s="125"/>
      <c r="G25" s="125"/>
      <c r="H25" s="125"/>
      <c r="I25" s="126"/>
      <c r="J25" s="124" t="s">
        <v>1</v>
      </c>
      <c r="K25" s="125"/>
      <c r="L25" s="125"/>
      <c r="M25" s="125"/>
      <c r="N25" s="125"/>
      <c r="O25" s="125"/>
      <c r="P25" s="126"/>
      <c r="Q25" s="124" t="s">
        <v>2</v>
      </c>
      <c r="R25" s="126"/>
      <c r="S25" s="124" t="s">
        <v>3</v>
      </c>
      <c r="T25" s="125"/>
      <c r="U25" s="125"/>
      <c r="V25" s="126"/>
    </row>
    <row r="26" spans="2:22" ht="51">
      <c r="B26" s="5" t="s">
        <v>30</v>
      </c>
      <c r="C26" s="6" t="s">
        <v>4</v>
      </c>
      <c r="D26" s="7" t="s">
        <v>5</v>
      </c>
      <c r="E26" s="8" t="s">
        <v>6</v>
      </c>
      <c r="F26" s="145" t="s">
        <v>7</v>
      </c>
      <c r="G26" s="146"/>
      <c r="H26" s="147" t="s">
        <v>8</v>
      </c>
      <c r="I26" s="148"/>
      <c r="J26" s="9" t="s">
        <v>9</v>
      </c>
      <c r="K26" s="7" t="s">
        <v>10</v>
      </c>
      <c r="L26" s="8" t="s">
        <v>11</v>
      </c>
      <c r="M26" s="145" t="s">
        <v>12</v>
      </c>
      <c r="N26" s="146"/>
      <c r="O26" s="147" t="s">
        <v>13</v>
      </c>
      <c r="P26" s="148"/>
      <c r="Q26" s="142" t="s">
        <v>14</v>
      </c>
      <c r="R26" s="143" t="s">
        <v>15</v>
      </c>
      <c r="S26" s="143" t="s">
        <v>16</v>
      </c>
      <c r="T26" s="143" t="s">
        <v>17</v>
      </c>
      <c r="U26" s="130" t="s">
        <v>18</v>
      </c>
      <c r="V26" s="132" t="s">
        <v>19</v>
      </c>
    </row>
    <row r="27" spans="2:22" ht="12.75">
      <c r="B27" s="10"/>
      <c r="C27" s="11"/>
      <c r="D27" s="12"/>
      <c r="E27" s="13">
        <f>1/66</f>
        <v>0.015151515151515152</v>
      </c>
      <c r="F27" s="14" t="s">
        <v>20</v>
      </c>
      <c r="G27" s="14" t="s">
        <v>21</v>
      </c>
      <c r="H27" s="15" t="s">
        <v>20</v>
      </c>
      <c r="I27" s="16" t="s">
        <v>21</v>
      </c>
      <c r="J27" s="17"/>
      <c r="K27" s="12"/>
      <c r="L27" s="67">
        <f>1/12</f>
        <v>0.08333333333333333</v>
      </c>
      <c r="M27" s="14" t="s">
        <v>20</v>
      </c>
      <c r="N27" s="14" t="s">
        <v>21</v>
      </c>
      <c r="O27" s="15" t="s">
        <v>20</v>
      </c>
      <c r="P27" s="16" t="s">
        <v>21</v>
      </c>
      <c r="Q27" s="137"/>
      <c r="R27" s="144"/>
      <c r="S27" s="144"/>
      <c r="T27" s="144"/>
      <c r="U27" s="131"/>
      <c r="V27" s="133"/>
    </row>
    <row r="28" spans="2:22" ht="12.75">
      <c r="B28" s="19">
        <v>1990</v>
      </c>
      <c r="C28" s="20">
        <v>4000</v>
      </c>
      <c r="D28" s="21">
        <f>C28</f>
        <v>4000</v>
      </c>
      <c r="E28" s="23">
        <f>C28*E$27</f>
        <v>60.60606060606061</v>
      </c>
      <c r="F28" s="23">
        <v>200</v>
      </c>
      <c r="G28" s="23"/>
      <c r="H28" s="24">
        <f>F28</f>
        <v>200</v>
      </c>
      <c r="I28" s="25"/>
      <c r="J28" s="26">
        <v>700</v>
      </c>
      <c r="K28" s="27">
        <f>J28</f>
        <v>700</v>
      </c>
      <c r="L28" s="23">
        <f>J28*L$27</f>
        <v>58.33333333333333</v>
      </c>
      <c r="M28" s="28">
        <v>84</v>
      </c>
      <c r="N28" s="23"/>
      <c r="O28" s="24">
        <f>M28</f>
        <v>84</v>
      </c>
      <c r="P28" s="25"/>
      <c r="Q28" s="29">
        <f>F28+M28</f>
        <v>284</v>
      </c>
      <c r="R28" s="30">
        <f>Q28-(E28+L28)</f>
        <v>165.06060606060606</v>
      </c>
      <c r="S28" s="23">
        <f>M28*(R28/Q28)</f>
        <v>48.820742637644045</v>
      </c>
      <c r="T28" s="28">
        <f>M28-L28</f>
        <v>25.66666666666667</v>
      </c>
      <c r="U28" s="31">
        <f>O28*(R28/Q28)</f>
        <v>48.820742637644045</v>
      </c>
      <c r="V28" s="25">
        <f>O28-L28</f>
        <v>25.66666666666667</v>
      </c>
    </row>
    <row r="29" spans="2:22" ht="12.75">
      <c r="B29" s="32">
        <v>1991</v>
      </c>
      <c r="C29" s="40">
        <f>C28+F28-E28</f>
        <v>4139.393939393939</v>
      </c>
      <c r="D29" s="34">
        <f>C28+F28-E28</f>
        <v>4139.393939393939</v>
      </c>
      <c r="E29" s="36">
        <f aca="true" t="shared" si="17" ref="E29:E43">C29*E$27</f>
        <v>62.71808999081726</v>
      </c>
      <c r="F29" s="36">
        <v>204</v>
      </c>
      <c r="G29" s="37">
        <f>F29/F28-1</f>
        <v>0.020000000000000018</v>
      </c>
      <c r="H29" s="38">
        <f>F29</f>
        <v>204</v>
      </c>
      <c r="I29" s="39">
        <f>H29/H28-1</f>
        <v>0.020000000000000018</v>
      </c>
      <c r="J29" s="40">
        <v>714</v>
      </c>
      <c r="K29" s="41">
        <f aca="true" t="shared" si="18" ref="K29:K43">J28+M28-L28</f>
        <v>725.6666666666666</v>
      </c>
      <c r="L29" s="36">
        <f aca="true" t="shared" si="19" ref="L29:L43">J29*L$27</f>
        <v>59.5</v>
      </c>
      <c r="M29" s="35">
        <v>85.7</v>
      </c>
      <c r="N29" s="37">
        <f>M29/M28-1</f>
        <v>0.020238095238095166</v>
      </c>
      <c r="O29" s="38">
        <f>M29</f>
        <v>85.7</v>
      </c>
      <c r="P29" s="39">
        <f>O29/O28-1</f>
        <v>0.020238095238095166</v>
      </c>
      <c r="Q29" s="42">
        <f>F29+M29</f>
        <v>289.7</v>
      </c>
      <c r="R29" s="43">
        <f>Q29-(E29+L29)</f>
        <v>167.48191000918274</v>
      </c>
      <c r="S29" s="36">
        <f>M29*(R29/Q29)</f>
        <v>49.545045522219404</v>
      </c>
      <c r="T29" s="35">
        <f>M29-L29</f>
        <v>26.200000000000003</v>
      </c>
      <c r="U29" s="44">
        <f>O29*(R29/Q29)</f>
        <v>49.545045522219404</v>
      </c>
      <c r="V29" s="45">
        <f aca="true" t="shared" si="20" ref="V29:V43">O29-L29</f>
        <v>26.200000000000003</v>
      </c>
    </row>
    <row r="30" spans="2:22" ht="12.75">
      <c r="B30" s="32">
        <v>1992</v>
      </c>
      <c r="C30" s="40">
        <f aca="true" t="shared" si="21" ref="C30:C43">C29+F29-E29</f>
        <v>4280.675849403122</v>
      </c>
      <c r="D30" s="34">
        <f>C29+F29-E29</f>
        <v>4280.675849403122</v>
      </c>
      <c r="E30" s="36">
        <f t="shared" si="17"/>
        <v>64.85872499095639</v>
      </c>
      <c r="F30" s="36">
        <v>208.1</v>
      </c>
      <c r="G30" s="37">
        <f aca="true" t="shared" si="22" ref="G30:G43">F30/F29-1</f>
        <v>0.020098039215686203</v>
      </c>
      <c r="H30" s="38">
        <f>F30</f>
        <v>208.1</v>
      </c>
      <c r="I30" s="39">
        <f>H30/H29-1</f>
        <v>0.020098039215686203</v>
      </c>
      <c r="J30" s="40">
        <v>728.3</v>
      </c>
      <c r="K30" s="41">
        <f t="shared" si="18"/>
        <v>740.2</v>
      </c>
      <c r="L30" s="36">
        <f t="shared" si="19"/>
        <v>60.69166666666666</v>
      </c>
      <c r="M30" s="35">
        <v>87.4</v>
      </c>
      <c r="N30" s="37">
        <f aca="true" t="shared" si="23" ref="N30:N43">M30/M29-1</f>
        <v>0.019836639439906767</v>
      </c>
      <c r="O30" s="38">
        <f>M30</f>
        <v>87.4</v>
      </c>
      <c r="P30" s="39">
        <f>O30/O29-1</f>
        <v>0.019836639439906767</v>
      </c>
      <c r="Q30" s="42">
        <f>F30+M30</f>
        <v>295.5</v>
      </c>
      <c r="R30" s="43">
        <f>Q30-(E30+L30)</f>
        <v>169.94960834237696</v>
      </c>
      <c r="S30" s="36">
        <f aca="true" t="shared" si="24" ref="S30:S43">M30*(R30/Q30)</f>
        <v>50.26597553002961</v>
      </c>
      <c r="T30" s="35">
        <f>M30-L30</f>
        <v>26.708333333333343</v>
      </c>
      <c r="U30" s="44">
        <f>O30*(R30/Q30)</f>
        <v>50.26597553002961</v>
      </c>
      <c r="V30" s="45">
        <f t="shared" si="20"/>
        <v>26.708333333333343</v>
      </c>
    </row>
    <row r="31" spans="2:22" ht="12.75">
      <c r="B31" s="32">
        <v>1993</v>
      </c>
      <c r="C31" s="40">
        <f t="shared" si="21"/>
        <v>4423.917124412166</v>
      </c>
      <c r="D31" s="34">
        <f>C30+F30-E30</f>
        <v>4423.917124412166</v>
      </c>
      <c r="E31" s="36">
        <f t="shared" si="17"/>
        <v>67.02904733957828</v>
      </c>
      <c r="F31" s="36">
        <v>212.2</v>
      </c>
      <c r="G31" s="37">
        <f t="shared" si="22"/>
        <v>0.01970206631427196</v>
      </c>
      <c r="H31" s="38">
        <f>F31</f>
        <v>212.2</v>
      </c>
      <c r="I31" s="39">
        <f>H31/H30-1</f>
        <v>0.01970206631427196</v>
      </c>
      <c r="J31" s="40">
        <v>742.8</v>
      </c>
      <c r="K31" s="41">
        <f t="shared" si="18"/>
        <v>755.0083333333332</v>
      </c>
      <c r="L31" s="36">
        <f t="shared" si="19"/>
        <v>61.89999999999999</v>
      </c>
      <c r="M31" s="35">
        <v>89.1</v>
      </c>
      <c r="N31" s="37">
        <f t="shared" si="23"/>
        <v>0.01945080091533158</v>
      </c>
      <c r="O31" s="38">
        <f>M31</f>
        <v>89.1</v>
      </c>
      <c r="P31" s="39">
        <f>O31/O30-1</f>
        <v>0.01945080091533158</v>
      </c>
      <c r="Q31" s="42">
        <f aca="true" t="shared" si="25" ref="Q31:Q43">F31+M31</f>
        <v>301.29999999999995</v>
      </c>
      <c r="R31" s="43">
        <f>Q31-(E31+L31)</f>
        <v>172.37095266042166</v>
      </c>
      <c r="S31" s="36">
        <f t="shared" si="24"/>
        <v>50.973288689158885</v>
      </c>
      <c r="T31" s="35">
        <f aca="true" t="shared" si="26" ref="T31:T43">M31-L31</f>
        <v>27.200000000000003</v>
      </c>
      <c r="U31" s="44">
        <f>O31*(R31/Q31)</f>
        <v>50.973288689158885</v>
      </c>
      <c r="V31" s="45">
        <f t="shared" si="20"/>
        <v>27.200000000000003</v>
      </c>
    </row>
    <row r="32" spans="2:22" ht="12.75">
      <c r="B32" s="32">
        <v>1994</v>
      </c>
      <c r="C32" s="40">
        <f t="shared" si="21"/>
        <v>4569.088077072588</v>
      </c>
      <c r="D32" s="34">
        <f>C31+F31-E31</f>
        <v>4569.088077072588</v>
      </c>
      <c r="E32" s="36">
        <f t="shared" si="17"/>
        <v>69.22860722837255</v>
      </c>
      <c r="F32" s="36">
        <v>216.5</v>
      </c>
      <c r="G32" s="37">
        <f t="shared" si="22"/>
        <v>0.020263901979264975</v>
      </c>
      <c r="H32" s="38">
        <f>F32</f>
        <v>216.5</v>
      </c>
      <c r="I32" s="39">
        <f>H32/H31-1</f>
        <v>0.020263901979264975</v>
      </c>
      <c r="J32" s="40">
        <v>757.7</v>
      </c>
      <c r="K32" s="41">
        <f t="shared" si="18"/>
        <v>770</v>
      </c>
      <c r="L32" s="36">
        <f t="shared" si="19"/>
        <v>63.141666666666666</v>
      </c>
      <c r="M32" s="35">
        <v>90.9</v>
      </c>
      <c r="N32" s="37">
        <f t="shared" si="23"/>
        <v>0.020202020202020332</v>
      </c>
      <c r="O32" s="38">
        <f>M32</f>
        <v>90.9</v>
      </c>
      <c r="P32" s="39">
        <f>O32/O31-1</f>
        <v>0.020202020202020332</v>
      </c>
      <c r="Q32" s="42">
        <f t="shared" si="25"/>
        <v>307.4</v>
      </c>
      <c r="R32" s="43">
        <f aca="true" t="shared" si="27" ref="R32:R43">Q32-(E32+L32)</f>
        <v>175.02972610496076</v>
      </c>
      <c r="S32" s="36">
        <f t="shared" si="24"/>
        <v>51.757326294537854</v>
      </c>
      <c r="T32" s="35">
        <f t="shared" si="26"/>
        <v>27.75833333333334</v>
      </c>
      <c r="U32" s="44">
        <f aca="true" t="shared" si="28" ref="U32:U43">O32*(R32/Q32)</f>
        <v>51.757326294537854</v>
      </c>
      <c r="V32" s="45">
        <f t="shared" si="20"/>
        <v>27.75833333333334</v>
      </c>
    </row>
    <row r="33" spans="2:22" ht="12.75">
      <c r="B33" s="32">
        <v>1995</v>
      </c>
      <c r="C33" s="40">
        <f t="shared" si="21"/>
        <v>4716.359469844216</v>
      </c>
      <c r="D33" s="46">
        <f>C32+H33-E32</f>
        <v>4708.986577490691</v>
      </c>
      <c r="E33" s="36">
        <f t="shared" si="17"/>
        <v>71.4599919673366</v>
      </c>
      <c r="F33" s="47">
        <v>143.5</v>
      </c>
      <c r="G33" s="48">
        <f t="shared" si="22"/>
        <v>-0.3371824480369515</v>
      </c>
      <c r="H33" s="47">
        <f>H32*(1+I33)</f>
        <v>209.12710764647557</v>
      </c>
      <c r="I33" s="49">
        <f>(E63/E58)^(1/5)-1</f>
        <v>-0.034054930039373876</v>
      </c>
      <c r="J33" s="40">
        <v>772.9</v>
      </c>
      <c r="K33" s="41">
        <f t="shared" si="18"/>
        <v>785.4583333333334</v>
      </c>
      <c r="L33" s="36">
        <f t="shared" si="19"/>
        <v>64.40833333333333</v>
      </c>
      <c r="M33" s="35">
        <v>92.7</v>
      </c>
      <c r="N33" s="37">
        <f t="shared" si="23"/>
        <v>0.01980198019801982</v>
      </c>
      <c r="O33" s="47">
        <f>O32*(1+P33)</f>
        <v>89.2612802426127</v>
      </c>
      <c r="P33" s="50">
        <f>(I63/I58)^(1/5)-1</f>
        <v>-0.018027720103270695</v>
      </c>
      <c r="Q33" s="42">
        <f t="shared" si="25"/>
        <v>236.2</v>
      </c>
      <c r="R33" s="43">
        <f t="shared" si="27"/>
        <v>100.33167469933005</v>
      </c>
      <c r="S33" s="36">
        <f t="shared" si="24"/>
        <v>39.37657173847543</v>
      </c>
      <c r="T33" s="35">
        <f t="shared" si="26"/>
        <v>28.29166666666667</v>
      </c>
      <c r="U33" s="44">
        <f t="shared" si="28"/>
        <v>37.91589217844011</v>
      </c>
      <c r="V33" s="45">
        <f t="shared" si="20"/>
        <v>24.852946909279368</v>
      </c>
    </row>
    <row r="34" spans="2:22" ht="12.75">
      <c r="B34" s="32">
        <v>1996</v>
      </c>
      <c r="C34" s="40">
        <f t="shared" si="21"/>
        <v>4788.399477876879</v>
      </c>
      <c r="D34" s="46">
        <f aca="true" t="shared" si="29" ref="D34:D43">C33+H34-E33</f>
        <v>4846.904776503117</v>
      </c>
      <c r="E34" s="36">
        <f t="shared" si="17"/>
        <v>72.55150724055878</v>
      </c>
      <c r="F34" s="47">
        <v>143.9</v>
      </c>
      <c r="G34" s="48">
        <f t="shared" si="22"/>
        <v>0.0027874564459930973</v>
      </c>
      <c r="H34" s="47">
        <f>H33*(1+I34)</f>
        <v>202.00529862623824</v>
      </c>
      <c r="I34" s="51">
        <f>I33</f>
        <v>-0.034054930039373876</v>
      </c>
      <c r="J34" s="40">
        <v>788.3</v>
      </c>
      <c r="K34" s="41">
        <f t="shared" si="18"/>
        <v>801.1916666666667</v>
      </c>
      <c r="L34" s="36">
        <f t="shared" si="19"/>
        <v>65.69166666666666</v>
      </c>
      <c r="M34" s="35">
        <v>94.6</v>
      </c>
      <c r="N34" s="37">
        <f t="shared" si="23"/>
        <v>0.02049622437971954</v>
      </c>
      <c r="O34" s="47">
        <f>O33*(1+P34)</f>
        <v>87.65210286633928</v>
      </c>
      <c r="P34" s="51">
        <f>P33</f>
        <v>-0.018027720103270695</v>
      </c>
      <c r="Q34" s="42">
        <f t="shared" si="25"/>
        <v>238.5</v>
      </c>
      <c r="R34" s="43">
        <f t="shared" si="27"/>
        <v>100.25682609277456</v>
      </c>
      <c r="S34" s="36">
        <f t="shared" si="24"/>
        <v>39.766439196547054</v>
      </c>
      <c r="T34" s="35">
        <f t="shared" si="26"/>
        <v>28.90833333333333</v>
      </c>
      <c r="U34" s="44">
        <f t="shared" si="28"/>
        <v>36.8457930135705</v>
      </c>
      <c r="V34" s="45">
        <f t="shared" si="20"/>
        <v>21.960436199672614</v>
      </c>
    </row>
    <row r="35" spans="2:22" ht="12.75">
      <c r="B35" s="32">
        <v>1997</v>
      </c>
      <c r="C35" s="40">
        <f t="shared" si="21"/>
        <v>4859.74797063632</v>
      </c>
      <c r="D35" s="46">
        <f t="shared" si="29"/>
        <v>4910.973992950259</v>
      </c>
      <c r="E35" s="36">
        <f t="shared" si="17"/>
        <v>73.63254500964122</v>
      </c>
      <c r="F35" s="47">
        <v>144.2</v>
      </c>
      <c r="G35" s="48">
        <f t="shared" si="22"/>
        <v>0.0020847810979844894</v>
      </c>
      <c r="H35" s="47">
        <f aca="true" t="shared" si="30" ref="H35:H43">H34*(1+I35)</f>
        <v>195.12602231393888</v>
      </c>
      <c r="I35" s="51">
        <f aca="true" t="shared" si="31" ref="I35:I43">I34</f>
        <v>-0.034054930039373876</v>
      </c>
      <c r="J35" s="40">
        <v>804.1</v>
      </c>
      <c r="K35" s="41">
        <f t="shared" si="18"/>
        <v>817.2083333333333</v>
      </c>
      <c r="L35" s="36">
        <f t="shared" si="19"/>
        <v>67.00833333333333</v>
      </c>
      <c r="M35" s="35">
        <v>96.5</v>
      </c>
      <c r="N35" s="37">
        <f t="shared" si="23"/>
        <v>0.02008456659619462</v>
      </c>
      <c r="O35" s="47">
        <f aca="true" t="shared" si="32" ref="O35:O43">O34*(1+P35)</f>
        <v>86.07193528940182</v>
      </c>
      <c r="P35" s="51">
        <f aca="true" t="shared" si="33" ref="P35:P43">P34</f>
        <v>-0.018027720103270695</v>
      </c>
      <c r="Q35" s="42">
        <f t="shared" si="25"/>
        <v>240.7</v>
      </c>
      <c r="R35" s="43">
        <f t="shared" si="27"/>
        <v>100.05912165702546</v>
      </c>
      <c r="S35" s="36">
        <f t="shared" si="24"/>
        <v>40.11510278314481</v>
      </c>
      <c r="T35" s="35">
        <f t="shared" si="26"/>
        <v>29.491666666666674</v>
      </c>
      <c r="U35" s="44">
        <f t="shared" si="28"/>
        <v>35.78015057905226</v>
      </c>
      <c r="V35" s="45">
        <f t="shared" si="20"/>
        <v>19.063601956068496</v>
      </c>
    </row>
    <row r="36" spans="2:22" ht="12.75">
      <c r="B36" s="32">
        <v>1998</v>
      </c>
      <c r="C36" s="40">
        <f t="shared" si="21"/>
        <v>4930.315425626679</v>
      </c>
      <c r="D36" s="46">
        <f t="shared" si="29"/>
        <v>4974.596444901856</v>
      </c>
      <c r="E36" s="36">
        <f t="shared" si="17"/>
        <v>74.7017488731315</v>
      </c>
      <c r="F36" s="47">
        <v>144.6</v>
      </c>
      <c r="G36" s="48">
        <f t="shared" si="22"/>
        <v>0.00277392510402219</v>
      </c>
      <c r="H36" s="47">
        <f t="shared" si="30"/>
        <v>188.48101927517638</v>
      </c>
      <c r="I36" s="51">
        <f t="shared" si="31"/>
        <v>-0.034054930039373876</v>
      </c>
      <c r="J36" s="40">
        <v>820.2</v>
      </c>
      <c r="K36" s="41">
        <f t="shared" si="18"/>
        <v>833.5916666666667</v>
      </c>
      <c r="L36" s="36">
        <f t="shared" si="19"/>
        <v>68.35</v>
      </c>
      <c r="M36" s="35">
        <v>98.4</v>
      </c>
      <c r="N36" s="37">
        <f t="shared" si="23"/>
        <v>0.01968911917098448</v>
      </c>
      <c r="O36" s="47">
        <f t="shared" si="32"/>
        <v>84.52025453125766</v>
      </c>
      <c r="P36" s="51">
        <f t="shared" si="33"/>
        <v>-0.018027720103270695</v>
      </c>
      <c r="Q36" s="42">
        <f t="shared" si="25"/>
        <v>243</v>
      </c>
      <c r="R36" s="43">
        <f t="shared" si="27"/>
        <v>99.94825112686851</v>
      </c>
      <c r="S36" s="36">
        <f t="shared" si="24"/>
        <v>40.47287206125046</v>
      </c>
      <c r="T36" s="35">
        <f t="shared" si="26"/>
        <v>30.05000000000001</v>
      </c>
      <c r="U36" s="44">
        <f t="shared" si="28"/>
        <v>34.76399845760077</v>
      </c>
      <c r="V36" s="45">
        <f t="shared" si="20"/>
        <v>16.17025453125767</v>
      </c>
    </row>
    <row r="37" spans="2:22" ht="12.75">
      <c r="B37" s="32">
        <v>1999</v>
      </c>
      <c r="C37" s="40">
        <f t="shared" si="21"/>
        <v>5000.213676753548</v>
      </c>
      <c r="D37" s="46">
        <f t="shared" si="29"/>
        <v>5037.675988103558</v>
      </c>
      <c r="E37" s="36">
        <f t="shared" si="17"/>
        <v>75.76081328414466</v>
      </c>
      <c r="F37" s="47">
        <v>145</v>
      </c>
      <c r="G37" s="48">
        <f t="shared" si="22"/>
        <v>0.0027662517289073207</v>
      </c>
      <c r="H37" s="47">
        <f t="shared" si="30"/>
        <v>182.06231135001036</v>
      </c>
      <c r="I37" s="51">
        <f t="shared" si="31"/>
        <v>-0.034054930039373876</v>
      </c>
      <c r="J37" s="40">
        <v>836.6</v>
      </c>
      <c r="K37" s="41">
        <f t="shared" si="18"/>
        <v>850.25</v>
      </c>
      <c r="L37" s="36">
        <f t="shared" si="19"/>
        <v>69.71666666666667</v>
      </c>
      <c r="M37" s="35">
        <v>100.4</v>
      </c>
      <c r="N37" s="37">
        <f t="shared" si="23"/>
        <v>0.020325203252032464</v>
      </c>
      <c r="O37" s="47">
        <f t="shared" si="32"/>
        <v>82.99654703951096</v>
      </c>
      <c r="P37" s="51">
        <f t="shared" si="33"/>
        <v>-0.018027720103270695</v>
      </c>
      <c r="Q37" s="42">
        <f t="shared" si="25"/>
        <v>245.4</v>
      </c>
      <c r="R37" s="43">
        <f t="shared" si="27"/>
        <v>99.92252004918868</v>
      </c>
      <c r="S37" s="36">
        <f t="shared" si="24"/>
        <v>40.88109622224345</v>
      </c>
      <c r="T37" s="35">
        <f t="shared" si="26"/>
        <v>30.683333333333337</v>
      </c>
      <c r="U37" s="44">
        <f t="shared" si="28"/>
        <v>33.79471937884664</v>
      </c>
      <c r="V37" s="45">
        <f t="shared" si="20"/>
        <v>13.27988037284429</v>
      </c>
    </row>
    <row r="38" spans="2:22" ht="12.75">
      <c r="B38" s="32">
        <v>2000</v>
      </c>
      <c r="C38" s="40">
        <f t="shared" si="21"/>
        <v>5069.452863469403</v>
      </c>
      <c r="D38" s="46">
        <f t="shared" si="29"/>
        <v>5100.315055543582</v>
      </c>
      <c r="E38" s="36">
        <f t="shared" si="17"/>
        <v>76.80989187074854</v>
      </c>
      <c r="F38" s="47">
        <v>145.3</v>
      </c>
      <c r="G38" s="48">
        <f t="shared" si="22"/>
        <v>0.00206896551724145</v>
      </c>
      <c r="H38" s="47">
        <f t="shared" si="30"/>
        <v>175.86219207417906</v>
      </c>
      <c r="I38" s="51">
        <f t="shared" si="31"/>
        <v>-0.034054930039373876</v>
      </c>
      <c r="J38" s="40">
        <v>853.3</v>
      </c>
      <c r="K38" s="41">
        <f t="shared" si="18"/>
        <v>867.2833333333333</v>
      </c>
      <c r="L38" s="36">
        <f t="shared" si="19"/>
        <v>71.10833333333332</v>
      </c>
      <c r="M38" s="35">
        <v>102.4</v>
      </c>
      <c r="N38" s="37">
        <f t="shared" si="23"/>
        <v>0.019920318725099584</v>
      </c>
      <c r="O38" s="47">
        <f t="shared" si="32"/>
        <v>81.50030851994471</v>
      </c>
      <c r="P38" s="51">
        <f t="shared" si="33"/>
        <v>-0.018027720103270695</v>
      </c>
      <c r="Q38" s="42">
        <f t="shared" si="25"/>
        <v>247.70000000000002</v>
      </c>
      <c r="R38" s="43">
        <f t="shared" si="27"/>
        <v>99.78177479591815</v>
      </c>
      <c r="S38" s="36">
        <f t="shared" si="24"/>
        <v>41.25011602382729</v>
      </c>
      <c r="T38" s="35">
        <f t="shared" si="26"/>
        <v>31.291666666666686</v>
      </c>
      <c r="U38" s="44">
        <f t="shared" si="28"/>
        <v>32.83102717212343</v>
      </c>
      <c r="V38" s="45">
        <f t="shared" si="20"/>
        <v>10.39197518661139</v>
      </c>
    </row>
    <row r="39" spans="2:22" ht="12.75">
      <c r="B39" s="32">
        <v>2001</v>
      </c>
      <c r="C39" s="40">
        <f t="shared" si="21"/>
        <v>5137.942971598655</v>
      </c>
      <c r="D39" s="46">
        <f t="shared" si="29"/>
        <v>5162.5161890251775</v>
      </c>
      <c r="E39" s="36">
        <f t="shared" si="17"/>
        <v>77.84762078179781</v>
      </c>
      <c r="F39" s="47">
        <v>145.7</v>
      </c>
      <c r="G39" s="48">
        <f t="shared" si="22"/>
        <v>0.0027529249827940028</v>
      </c>
      <c r="H39" s="47">
        <f t="shared" si="30"/>
        <v>169.87321742652196</v>
      </c>
      <c r="I39" s="51">
        <f t="shared" si="31"/>
        <v>-0.034054930039373876</v>
      </c>
      <c r="J39" s="40">
        <v>870.4</v>
      </c>
      <c r="K39" s="41">
        <f t="shared" si="18"/>
        <v>884.5916666666666</v>
      </c>
      <c r="L39" s="36">
        <f t="shared" si="19"/>
        <v>72.53333333333333</v>
      </c>
      <c r="M39" s="35">
        <v>104.4</v>
      </c>
      <c r="N39" s="37">
        <f t="shared" si="23"/>
        <v>0.01953125</v>
      </c>
      <c r="O39" s="47">
        <f t="shared" si="32"/>
        <v>80.03104376961694</v>
      </c>
      <c r="P39" s="51">
        <f t="shared" si="33"/>
        <v>-0.018027720103270695</v>
      </c>
      <c r="Q39" s="42">
        <f t="shared" si="25"/>
        <v>250.1</v>
      </c>
      <c r="R39" s="43">
        <f t="shared" si="27"/>
        <v>99.71904588486885</v>
      </c>
      <c r="S39" s="36">
        <f t="shared" si="24"/>
        <v>41.62602315226033</v>
      </c>
      <c r="T39" s="35">
        <f t="shared" si="26"/>
        <v>31.866666666666674</v>
      </c>
      <c r="U39" s="44">
        <f t="shared" si="28"/>
        <v>31.909713418138264</v>
      </c>
      <c r="V39" s="45">
        <f t="shared" si="20"/>
        <v>7.497710436283612</v>
      </c>
    </row>
    <row r="40" spans="2:22" ht="12.75">
      <c r="B40" s="32">
        <v>2002</v>
      </c>
      <c r="C40" s="40">
        <f t="shared" si="21"/>
        <v>5205.7953508168575</v>
      </c>
      <c r="D40" s="46">
        <f t="shared" si="29"/>
        <v>5224.183547708356</v>
      </c>
      <c r="E40" s="36">
        <f t="shared" si="17"/>
        <v>78.87568713358876</v>
      </c>
      <c r="F40" s="47">
        <v>146.1</v>
      </c>
      <c r="G40" s="48">
        <f t="shared" si="22"/>
        <v>0.0027453671928621137</v>
      </c>
      <c r="H40" s="47">
        <f t="shared" si="30"/>
        <v>164.0881968914984</v>
      </c>
      <c r="I40" s="51">
        <f t="shared" si="31"/>
        <v>-0.034054930039373876</v>
      </c>
      <c r="J40" s="40">
        <v>887.8</v>
      </c>
      <c r="K40" s="41">
        <f t="shared" si="18"/>
        <v>902.2666666666667</v>
      </c>
      <c r="L40" s="36">
        <f t="shared" si="19"/>
        <v>73.98333333333332</v>
      </c>
      <c r="M40" s="35">
        <v>106.5</v>
      </c>
      <c r="N40" s="37">
        <f t="shared" si="23"/>
        <v>0.02011494252873547</v>
      </c>
      <c r="O40" s="47">
        <f t="shared" si="32"/>
        <v>78.58826651296569</v>
      </c>
      <c r="P40" s="51">
        <f t="shared" si="33"/>
        <v>-0.018027720103270695</v>
      </c>
      <c r="Q40" s="42">
        <f t="shared" si="25"/>
        <v>252.6</v>
      </c>
      <c r="R40" s="43">
        <f t="shared" si="27"/>
        <v>99.74097953307793</v>
      </c>
      <c r="S40" s="36">
        <f t="shared" si="24"/>
        <v>42.05231322356612</v>
      </c>
      <c r="T40" s="35">
        <f t="shared" si="26"/>
        <v>32.51666666666668</v>
      </c>
      <c r="U40" s="44">
        <f t="shared" si="28"/>
        <v>31.031158676998356</v>
      </c>
      <c r="V40" s="45">
        <f t="shared" si="20"/>
        <v>4.6049331796323685</v>
      </c>
    </row>
    <row r="41" spans="2:22" ht="12.75">
      <c r="B41" s="32">
        <v>2003</v>
      </c>
      <c r="C41" s="40">
        <f t="shared" si="21"/>
        <v>5273.019663683269</v>
      </c>
      <c r="D41" s="46">
        <f t="shared" si="29"/>
        <v>5285.41984850934</v>
      </c>
      <c r="E41" s="36">
        <f t="shared" si="17"/>
        <v>79.89423732853437</v>
      </c>
      <c r="F41" s="47">
        <v>146.4</v>
      </c>
      <c r="G41" s="48">
        <f t="shared" si="22"/>
        <v>0.002053388090349051</v>
      </c>
      <c r="H41" s="47">
        <f t="shared" si="30"/>
        <v>158.5001848260714</v>
      </c>
      <c r="I41" s="51">
        <f t="shared" si="31"/>
        <v>-0.034054930039373876</v>
      </c>
      <c r="J41" s="40">
        <v>905.5</v>
      </c>
      <c r="K41" s="41">
        <f t="shared" si="18"/>
        <v>920.3166666666666</v>
      </c>
      <c r="L41" s="36">
        <f t="shared" si="19"/>
        <v>75.45833333333333</v>
      </c>
      <c r="M41" s="35">
        <v>108.7</v>
      </c>
      <c r="N41" s="37">
        <f t="shared" si="23"/>
        <v>0.020657276995305285</v>
      </c>
      <c r="O41" s="47">
        <f t="shared" si="32"/>
        <v>77.1714992408687</v>
      </c>
      <c r="P41" s="51">
        <f t="shared" si="33"/>
        <v>-0.018027720103270695</v>
      </c>
      <c r="Q41" s="42">
        <f t="shared" si="25"/>
        <v>255.10000000000002</v>
      </c>
      <c r="R41" s="43">
        <f t="shared" si="27"/>
        <v>99.74742933813232</v>
      </c>
      <c r="S41" s="36">
        <f t="shared" si="24"/>
        <v>42.503118655644776</v>
      </c>
      <c r="T41" s="35">
        <f t="shared" si="26"/>
        <v>33.241666666666674</v>
      </c>
      <c r="U41" s="44">
        <f t="shared" si="28"/>
        <v>30.17506337689644</v>
      </c>
      <c r="V41" s="45">
        <f t="shared" si="20"/>
        <v>1.7131659075353696</v>
      </c>
    </row>
    <row r="42" spans="2:22" ht="12.75">
      <c r="B42" s="32">
        <v>2004</v>
      </c>
      <c r="C42" s="40">
        <f t="shared" si="21"/>
        <v>5339.525426354734</v>
      </c>
      <c r="D42" s="46">
        <f t="shared" si="29"/>
        <v>5346.227898475326</v>
      </c>
      <c r="E42" s="36">
        <f t="shared" si="17"/>
        <v>80.90190039931416</v>
      </c>
      <c r="F42" s="47">
        <v>146.8</v>
      </c>
      <c r="G42" s="48">
        <f t="shared" si="22"/>
        <v>0.002732240437158584</v>
      </c>
      <c r="H42" s="47">
        <f t="shared" si="30"/>
        <v>153.10247212059173</v>
      </c>
      <c r="I42" s="51">
        <f t="shared" si="31"/>
        <v>-0.034054930039373876</v>
      </c>
      <c r="J42" s="40">
        <v>923.6</v>
      </c>
      <c r="K42" s="41">
        <f t="shared" si="18"/>
        <v>938.7416666666667</v>
      </c>
      <c r="L42" s="36">
        <f t="shared" si="19"/>
        <v>76.96666666666667</v>
      </c>
      <c r="M42" s="35">
        <v>110.8</v>
      </c>
      <c r="N42" s="37">
        <f t="shared" si="23"/>
        <v>0.01931922723091062</v>
      </c>
      <c r="O42" s="47">
        <f t="shared" si="32"/>
        <v>75.78027305260456</v>
      </c>
      <c r="P42" s="51">
        <f t="shared" si="33"/>
        <v>-0.018027720103270695</v>
      </c>
      <c r="Q42" s="42">
        <f t="shared" si="25"/>
        <v>257.6</v>
      </c>
      <c r="R42" s="43">
        <f t="shared" si="27"/>
        <v>99.73143293401921</v>
      </c>
      <c r="S42" s="36">
        <f t="shared" si="24"/>
        <v>42.89690515950826</v>
      </c>
      <c r="T42" s="35">
        <f t="shared" si="26"/>
        <v>33.83333333333333</v>
      </c>
      <c r="U42" s="44">
        <f t="shared" si="28"/>
        <v>29.33880131858499</v>
      </c>
      <c r="V42" s="45">
        <f t="shared" si="20"/>
        <v>-1.186393614062112</v>
      </c>
    </row>
    <row r="43" spans="2:22" ht="13.5" thickBot="1">
      <c r="B43" s="52">
        <v>2005</v>
      </c>
      <c r="C43" s="53">
        <f t="shared" si="21"/>
        <v>5405.42352595542</v>
      </c>
      <c r="D43" s="54">
        <f t="shared" si="29"/>
        <v>5406.51210409909</v>
      </c>
      <c r="E43" s="60">
        <f t="shared" si="17"/>
        <v>81.90035645387</v>
      </c>
      <c r="F43" s="56">
        <v>147.2</v>
      </c>
      <c r="G43" s="57">
        <f t="shared" si="22"/>
        <v>0.0027247956403269047</v>
      </c>
      <c r="H43" s="56">
        <f t="shared" si="30"/>
        <v>147.88857814366978</v>
      </c>
      <c r="I43" s="58">
        <f t="shared" si="31"/>
        <v>-0.034054930039373876</v>
      </c>
      <c r="J43" s="53">
        <v>942.1</v>
      </c>
      <c r="K43" s="59">
        <f t="shared" si="18"/>
        <v>957.4333333333334</v>
      </c>
      <c r="L43" s="60">
        <f t="shared" si="19"/>
        <v>78.50833333333333</v>
      </c>
      <c r="M43" s="55">
        <v>113.1</v>
      </c>
      <c r="N43" s="61">
        <f t="shared" si="23"/>
        <v>0.020758122743682383</v>
      </c>
      <c r="O43" s="56">
        <f t="shared" si="32"/>
        <v>74.41412750066277</v>
      </c>
      <c r="P43" s="58">
        <f t="shared" si="33"/>
        <v>-0.018027720103270695</v>
      </c>
      <c r="Q43" s="62">
        <f t="shared" si="25"/>
        <v>260.29999999999995</v>
      </c>
      <c r="R43" s="63">
        <f t="shared" si="27"/>
        <v>99.89131021279661</v>
      </c>
      <c r="S43" s="60">
        <f t="shared" si="24"/>
        <v>43.4026399733665</v>
      </c>
      <c r="T43" s="55">
        <f t="shared" si="26"/>
        <v>34.59166666666667</v>
      </c>
      <c r="U43" s="64">
        <f t="shared" si="28"/>
        <v>28.556760255026145</v>
      </c>
      <c r="V43" s="65">
        <f t="shared" si="20"/>
        <v>-4.0942058326705535</v>
      </c>
    </row>
    <row r="45" ht="13.5" thickBot="1"/>
    <row r="46" spans="2:15" ht="13.5" thickBot="1">
      <c r="B46" s="1" t="s">
        <v>42</v>
      </c>
      <c r="C46" s="2"/>
      <c r="D46" s="2"/>
      <c r="E46" s="2"/>
      <c r="F46" s="2"/>
      <c r="G46" s="92"/>
      <c r="H46" s="92"/>
      <c r="I46" s="92"/>
      <c r="J46" s="92"/>
      <c r="K46" s="2"/>
      <c r="L46" s="2"/>
      <c r="M46" s="2"/>
      <c r="N46" s="2"/>
      <c r="O46" s="3"/>
    </row>
    <row r="47" spans="2:15" ht="13.5" thickBot="1">
      <c r="B47" s="68"/>
      <c r="C47" s="124" t="s">
        <v>0</v>
      </c>
      <c r="D47" s="125"/>
      <c r="E47" s="125"/>
      <c r="F47" s="125"/>
      <c r="G47" s="124" t="s">
        <v>1</v>
      </c>
      <c r="H47" s="125"/>
      <c r="I47" s="125"/>
      <c r="J47" s="126"/>
      <c r="K47" s="124" t="s">
        <v>2</v>
      </c>
      <c r="L47" s="126"/>
      <c r="M47" s="124" t="s">
        <v>25</v>
      </c>
      <c r="N47" s="125"/>
      <c r="O47" s="126"/>
    </row>
    <row r="48" spans="2:21" ht="84.75" customHeight="1">
      <c r="B48" s="69" t="s">
        <v>30</v>
      </c>
      <c r="C48" s="70" t="s">
        <v>4</v>
      </c>
      <c r="D48" s="18" t="s">
        <v>35</v>
      </c>
      <c r="E48" s="134" t="s">
        <v>7</v>
      </c>
      <c r="F48" s="135"/>
      <c r="G48" s="71" t="s">
        <v>36</v>
      </c>
      <c r="H48" s="18" t="s">
        <v>37</v>
      </c>
      <c r="I48" s="134" t="s">
        <v>12</v>
      </c>
      <c r="J48" s="135"/>
      <c r="K48" s="136" t="s">
        <v>38</v>
      </c>
      <c r="L48" s="138" t="s">
        <v>15</v>
      </c>
      <c r="M48" s="136" t="s">
        <v>22</v>
      </c>
      <c r="N48" s="138" t="s">
        <v>39</v>
      </c>
      <c r="O48" s="140" t="s">
        <v>34</v>
      </c>
      <c r="S48" s="72"/>
      <c r="T48" s="72"/>
      <c r="U48" s="72"/>
    </row>
    <row r="49" spans="2:15" ht="12.75">
      <c r="B49" s="73"/>
      <c r="C49" s="11"/>
      <c r="D49" s="13">
        <f>1/66</f>
        <v>0.015151515151515152</v>
      </c>
      <c r="E49" s="14" t="s">
        <v>20</v>
      </c>
      <c r="F49" s="74" t="s">
        <v>21</v>
      </c>
      <c r="G49" s="17"/>
      <c r="H49" s="13">
        <f>1/12</f>
        <v>0.08333333333333333</v>
      </c>
      <c r="I49" s="14" t="s">
        <v>20</v>
      </c>
      <c r="J49" s="74" t="s">
        <v>21</v>
      </c>
      <c r="K49" s="137"/>
      <c r="L49" s="139"/>
      <c r="M49" s="137"/>
      <c r="N49" s="139"/>
      <c r="O49" s="141"/>
    </row>
    <row r="50" spans="2:22" ht="12.75">
      <c r="B50" s="75">
        <v>1992</v>
      </c>
      <c r="C50" s="76">
        <v>4016.91</v>
      </c>
      <c r="D50" s="28">
        <f>C50*D$49</f>
        <v>60.862272727272725</v>
      </c>
      <c r="E50" s="77">
        <v>223.34</v>
      </c>
      <c r="F50" s="78"/>
      <c r="G50" s="76">
        <v>773.5</v>
      </c>
      <c r="H50" s="28">
        <f>G50*H$49</f>
        <v>64.45833333333333</v>
      </c>
      <c r="I50" s="77">
        <v>150.72</v>
      </c>
      <c r="J50" s="78"/>
      <c r="K50" s="29">
        <f aca="true" t="shared" si="34" ref="K50:K68">E50+I50</f>
        <v>374.06</v>
      </c>
      <c r="L50" s="78">
        <f>K50-(D50+H50)</f>
        <v>248.73939393939395</v>
      </c>
      <c r="M50" s="26">
        <f>I50*(L50/K50)</f>
        <v>100.22456679288204</v>
      </c>
      <c r="N50" s="28">
        <f aca="true" t="shared" si="35" ref="N50:N68">I50-H50</f>
        <v>86.26166666666667</v>
      </c>
      <c r="O50" s="79">
        <f>(M50-N50)/N50</f>
        <v>0.161866802089171</v>
      </c>
      <c r="R50" s="80"/>
      <c r="S50" s="81"/>
      <c r="T50" s="81"/>
      <c r="U50" s="81"/>
      <c r="V50" s="80"/>
    </row>
    <row r="51" spans="2:22" ht="12.75">
      <c r="B51" s="82">
        <f>B50+1</f>
        <v>1993</v>
      </c>
      <c r="C51" s="40">
        <f aca="true" t="shared" si="36" ref="C51:C68">C50+E50-D50</f>
        <v>4179.387727272728</v>
      </c>
      <c r="D51" s="35">
        <f>C51*D$49</f>
        <v>63.32405647382921</v>
      </c>
      <c r="E51" s="83">
        <v>236.59</v>
      </c>
      <c r="F51" s="84">
        <f aca="true" t="shared" si="37" ref="F51:F68">E51/E50-1</f>
        <v>0.05932658726605178</v>
      </c>
      <c r="G51" s="40">
        <f>G50+I50-H50</f>
        <v>859.7616666666667</v>
      </c>
      <c r="H51" s="35">
        <f>G51*H$49</f>
        <v>71.64680555555555</v>
      </c>
      <c r="I51" s="83">
        <v>130.28</v>
      </c>
      <c r="J51" s="84">
        <f aca="true" t="shared" si="38" ref="J51:J68">I51/I50-1</f>
        <v>-0.13561571125265393</v>
      </c>
      <c r="K51" s="42">
        <f t="shared" si="34"/>
        <v>366.87</v>
      </c>
      <c r="L51" s="85">
        <f>K51-(D51+H51)</f>
        <v>231.89913797061524</v>
      </c>
      <c r="M51" s="40">
        <f>I51*(L51/K51)</f>
        <v>82.35020496309797</v>
      </c>
      <c r="N51" s="35">
        <f t="shared" si="35"/>
        <v>58.633194444444456</v>
      </c>
      <c r="O51" s="86">
        <f aca="true" t="shared" si="39" ref="O51:O68">(M51-N51)/N51</f>
        <v>0.4044980107833902</v>
      </c>
      <c r="R51" s="80"/>
      <c r="S51" s="81"/>
      <c r="T51" s="81"/>
      <c r="U51" s="81"/>
      <c r="V51" s="80"/>
    </row>
    <row r="52" spans="2:22" ht="12.75">
      <c r="B52" s="82">
        <f aca="true" t="shared" si="40" ref="B52:B68">B51+1</f>
        <v>1994</v>
      </c>
      <c r="C52" s="40">
        <f t="shared" si="36"/>
        <v>4352.653670798899</v>
      </c>
      <c r="D52" s="35">
        <f aca="true" t="shared" si="41" ref="D52:D66">C52*D$49</f>
        <v>65.94929804240756</v>
      </c>
      <c r="E52" s="83">
        <v>258.28</v>
      </c>
      <c r="F52" s="84">
        <f t="shared" si="37"/>
        <v>0.09167758569677487</v>
      </c>
      <c r="G52" s="40">
        <f aca="true" t="shared" si="42" ref="G52:G68">G51+I51-H51</f>
        <v>918.3948611111111</v>
      </c>
      <c r="H52" s="35">
        <f aca="true" t="shared" si="43" ref="H52:H66">G52*H$49</f>
        <v>76.53290509259259</v>
      </c>
      <c r="I52" s="83">
        <v>128.27</v>
      </c>
      <c r="J52" s="84">
        <f t="shared" si="38"/>
        <v>-0.015428308259134105</v>
      </c>
      <c r="K52" s="42">
        <f t="shared" si="34"/>
        <v>386.54999999999995</v>
      </c>
      <c r="L52" s="85">
        <f aca="true" t="shared" si="44" ref="L52:L68">K52-(D52+H52)</f>
        <v>244.06779686499982</v>
      </c>
      <c r="M52" s="40">
        <f aca="true" t="shared" si="45" ref="M52:M68">I52*(L52/K52)</f>
        <v>80.98972009797835</v>
      </c>
      <c r="N52" s="35">
        <f t="shared" si="35"/>
        <v>51.737094907407425</v>
      </c>
      <c r="O52" s="86">
        <f t="shared" si="39"/>
        <v>0.5654091178278102</v>
      </c>
      <c r="R52" s="80"/>
      <c r="S52" s="81"/>
      <c r="T52" s="81"/>
      <c r="U52" s="81"/>
      <c r="V52" s="80"/>
    </row>
    <row r="53" spans="2:22" ht="12.75">
      <c r="B53" s="82">
        <f t="shared" si="40"/>
        <v>1995</v>
      </c>
      <c r="C53" s="40">
        <f t="shared" si="36"/>
        <v>4544.984372756491</v>
      </c>
      <c r="D53" s="35">
        <f t="shared" si="41"/>
        <v>68.86339958721956</v>
      </c>
      <c r="E53" s="83">
        <v>259.07</v>
      </c>
      <c r="F53" s="84">
        <f t="shared" si="37"/>
        <v>0.003058695988849447</v>
      </c>
      <c r="G53" s="40">
        <f t="shared" si="42"/>
        <v>970.1319560185185</v>
      </c>
      <c r="H53" s="35">
        <f t="shared" si="43"/>
        <v>80.84432966820987</v>
      </c>
      <c r="I53" s="83">
        <v>129.82</v>
      </c>
      <c r="J53" s="84">
        <f t="shared" si="38"/>
        <v>0.012083885553909601</v>
      </c>
      <c r="K53" s="42">
        <f t="shared" si="34"/>
        <v>388.89</v>
      </c>
      <c r="L53" s="85">
        <f t="shared" si="44"/>
        <v>239.18227074457056</v>
      </c>
      <c r="M53" s="40">
        <f t="shared" si="45"/>
        <v>79.84428087135217</v>
      </c>
      <c r="N53" s="35">
        <f t="shared" si="35"/>
        <v>48.97567033179013</v>
      </c>
      <c r="O53" s="86">
        <f t="shared" si="39"/>
        <v>0.6302845949925715</v>
      </c>
      <c r="R53" s="80"/>
      <c r="S53" s="81"/>
      <c r="T53" s="81"/>
      <c r="U53" s="81"/>
      <c r="V53" s="80"/>
    </row>
    <row r="54" spans="2:22" ht="12.75">
      <c r="B54" s="82">
        <f t="shared" si="40"/>
        <v>1996</v>
      </c>
      <c r="C54" s="40">
        <f t="shared" si="36"/>
        <v>4735.190973169271</v>
      </c>
      <c r="D54" s="35">
        <f t="shared" si="41"/>
        <v>71.745317775292</v>
      </c>
      <c r="E54" s="83">
        <v>250.79</v>
      </c>
      <c r="F54" s="84">
        <f t="shared" si="37"/>
        <v>-0.03196047400316515</v>
      </c>
      <c r="G54" s="40">
        <f t="shared" si="42"/>
        <v>1019.1076263503087</v>
      </c>
      <c r="H54" s="35">
        <f t="shared" si="43"/>
        <v>84.92563552919239</v>
      </c>
      <c r="I54" s="83">
        <v>131.87</v>
      </c>
      <c r="J54" s="84">
        <f t="shared" si="38"/>
        <v>0.015791095362810204</v>
      </c>
      <c r="K54" s="42">
        <f t="shared" si="34"/>
        <v>382.65999999999997</v>
      </c>
      <c r="L54" s="85">
        <f t="shared" si="44"/>
        <v>225.98904669551558</v>
      </c>
      <c r="M54" s="40">
        <f t="shared" si="45"/>
        <v>77.87899333020866</v>
      </c>
      <c r="N54" s="35">
        <f t="shared" si="35"/>
        <v>46.94436447080761</v>
      </c>
      <c r="O54" s="86">
        <f t="shared" si="39"/>
        <v>0.6589636308451415</v>
      </c>
      <c r="R54" s="80"/>
      <c r="S54" s="81"/>
      <c r="T54" s="81"/>
      <c r="U54" s="81"/>
      <c r="V54" s="80"/>
    </row>
    <row r="55" spans="2:22" ht="12.75">
      <c r="B55" s="82">
        <f t="shared" si="40"/>
        <v>1997</v>
      </c>
      <c r="C55" s="40">
        <f t="shared" si="36"/>
        <v>4914.235655393979</v>
      </c>
      <c r="D55" s="35">
        <f t="shared" si="41"/>
        <v>74.45811599081786</v>
      </c>
      <c r="E55" s="83">
        <v>246.87</v>
      </c>
      <c r="F55" s="84">
        <f t="shared" si="37"/>
        <v>-0.01563060728099197</v>
      </c>
      <c r="G55" s="40">
        <f t="shared" si="42"/>
        <v>1066.0519908211163</v>
      </c>
      <c r="H55" s="35">
        <f t="shared" si="43"/>
        <v>88.83766590175969</v>
      </c>
      <c r="I55" s="83">
        <v>137.22</v>
      </c>
      <c r="J55" s="84">
        <f t="shared" si="38"/>
        <v>0.04057025858800323</v>
      </c>
      <c r="K55" s="42">
        <f t="shared" si="34"/>
        <v>384.09000000000003</v>
      </c>
      <c r="L55" s="85">
        <f t="shared" si="44"/>
        <v>220.79421810742247</v>
      </c>
      <c r="M55" s="40">
        <f t="shared" si="45"/>
        <v>78.88094615506914</v>
      </c>
      <c r="N55" s="35">
        <f t="shared" si="35"/>
        <v>48.38233409824031</v>
      </c>
      <c r="O55" s="86">
        <f t="shared" si="39"/>
        <v>0.6303666953086929</v>
      </c>
      <c r="R55" s="80"/>
      <c r="S55" s="81"/>
      <c r="T55" s="81"/>
      <c r="U55" s="81"/>
      <c r="V55" s="80"/>
    </row>
    <row r="56" spans="2:22" ht="12.75">
      <c r="B56" s="82">
        <f t="shared" si="40"/>
        <v>1998</v>
      </c>
      <c r="C56" s="40">
        <f t="shared" si="36"/>
        <v>5086.647539403161</v>
      </c>
      <c r="D56" s="35">
        <f t="shared" si="41"/>
        <v>77.07041726368426</v>
      </c>
      <c r="E56" s="83">
        <v>244.13</v>
      </c>
      <c r="F56" s="84">
        <f t="shared" si="37"/>
        <v>-0.011098958966257566</v>
      </c>
      <c r="G56" s="40">
        <f t="shared" si="42"/>
        <v>1114.4343249193566</v>
      </c>
      <c r="H56" s="35">
        <f t="shared" si="43"/>
        <v>92.86952707661305</v>
      </c>
      <c r="I56" s="83">
        <v>150.06</v>
      </c>
      <c r="J56" s="84">
        <f t="shared" si="38"/>
        <v>0.09357236554438142</v>
      </c>
      <c r="K56" s="42">
        <f t="shared" si="34"/>
        <v>394.19</v>
      </c>
      <c r="L56" s="85">
        <f t="shared" si="44"/>
        <v>224.2500556597027</v>
      </c>
      <c r="M56" s="40">
        <f t="shared" si="45"/>
        <v>85.36736942158599</v>
      </c>
      <c r="N56" s="35">
        <f t="shared" si="35"/>
        <v>57.19047292338695</v>
      </c>
      <c r="O56" s="86">
        <f t="shared" si="39"/>
        <v>0.4926851459323506</v>
      </c>
      <c r="R56" s="80"/>
      <c r="S56" s="81"/>
      <c r="T56" s="81"/>
      <c r="U56" s="81"/>
      <c r="V56" s="80"/>
    </row>
    <row r="57" spans="2:22" ht="12.75">
      <c r="B57" s="82">
        <f t="shared" si="40"/>
        <v>1999</v>
      </c>
      <c r="C57" s="40">
        <f t="shared" si="36"/>
        <v>5253.707122139477</v>
      </c>
      <c r="D57" s="35">
        <f t="shared" si="41"/>
        <v>79.60162306271936</v>
      </c>
      <c r="E57" s="83">
        <v>246.31</v>
      </c>
      <c r="F57" s="84">
        <f t="shared" si="37"/>
        <v>0.008929668619178432</v>
      </c>
      <c r="G57" s="40">
        <f t="shared" si="42"/>
        <v>1171.6247978427436</v>
      </c>
      <c r="H57" s="35">
        <f t="shared" si="43"/>
        <v>97.63539982022863</v>
      </c>
      <c r="I57" s="83">
        <v>159.59</v>
      </c>
      <c r="J57" s="84">
        <f t="shared" si="38"/>
        <v>0.06350793016126888</v>
      </c>
      <c r="K57" s="42">
        <f t="shared" si="34"/>
        <v>405.9</v>
      </c>
      <c r="L57" s="85">
        <f t="shared" si="44"/>
        <v>228.66297711705198</v>
      </c>
      <c r="M57" s="40">
        <f t="shared" si="45"/>
        <v>89.90471672360269</v>
      </c>
      <c r="N57" s="35">
        <f t="shared" si="35"/>
        <v>61.954600179771376</v>
      </c>
      <c r="O57" s="86">
        <f t="shared" si="39"/>
        <v>0.45113867998065504</v>
      </c>
      <c r="R57" s="80"/>
      <c r="S57" s="81"/>
      <c r="T57" s="81"/>
      <c r="U57" s="81"/>
      <c r="V57" s="80"/>
    </row>
    <row r="58" spans="2:22" ht="12.75">
      <c r="B58" s="82">
        <f t="shared" si="40"/>
        <v>2000</v>
      </c>
      <c r="C58" s="40">
        <f t="shared" si="36"/>
        <v>5420.415499076758</v>
      </c>
      <c r="D58" s="35">
        <f t="shared" si="41"/>
        <v>82.12750756176906</v>
      </c>
      <c r="E58" s="83">
        <v>241.85</v>
      </c>
      <c r="F58" s="84">
        <f t="shared" si="37"/>
        <v>-0.01810726320490441</v>
      </c>
      <c r="G58" s="40">
        <f t="shared" si="42"/>
        <v>1233.5793980225149</v>
      </c>
      <c r="H58" s="35">
        <f t="shared" si="43"/>
        <v>102.7982831685429</v>
      </c>
      <c r="I58" s="83">
        <v>176.66</v>
      </c>
      <c r="J58" s="84">
        <f t="shared" si="38"/>
        <v>0.10696158907199704</v>
      </c>
      <c r="K58" s="42">
        <f t="shared" si="34"/>
        <v>418.51</v>
      </c>
      <c r="L58" s="85">
        <f t="shared" si="44"/>
        <v>233.58420926968802</v>
      </c>
      <c r="M58" s="40">
        <f t="shared" si="45"/>
        <v>98.59976203575323</v>
      </c>
      <c r="N58" s="35">
        <f t="shared" si="35"/>
        <v>73.8617168314571</v>
      </c>
      <c r="O58" s="86">
        <f t="shared" si="39"/>
        <v>0.33492377737096407</v>
      </c>
      <c r="R58" s="80"/>
      <c r="S58" s="81"/>
      <c r="T58" s="81"/>
      <c r="U58" s="81"/>
      <c r="V58" s="80"/>
    </row>
    <row r="59" spans="2:22" ht="12.75">
      <c r="B59" s="82">
        <f t="shared" si="40"/>
        <v>2001</v>
      </c>
      <c r="C59" s="40">
        <f t="shared" si="36"/>
        <v>5580.13799151499</v>
      </c>
      <c r="D59" s="35">
        <f t="shared" si="41"/>
        <v>84.5475453259847</v>
      </c>
      <c r="E59" s="83">
        <v>230.61</v>
      </c>
      <c r="F59" s="84">
        <f t="shared" si="37"/>
        <v>-0.046475087864378706</v>
      </c>
      <c r="G59" s="40">
        <f t="shared" si="42"/>
        <v>1307.441114853972</v>
      </c>
      <c r="H59" s="35">
        <f t="shared" si="43"/>
        <v>108.953426237831</v>
      </c>
      <c r="I59" s="83">
        <v>167.36</v>
      </c>
      <c r="J59" s="84">
        <f t="shared" si="38"/>
        <v>-0.05264349598098028</v>
      </c>
      <c r="K59" s="42">
        <f t="shared" si="34"/>
        <v>397.97</v>
      </c>
      <c r="L59" s="85">
        <f t="shared" si="44"/>
        <v>204.46902843618432</v>
      </c>
      <c r="M59" s="40">
        <f t="shared" si="45"/>
        <v>85.98622157217832</v>
      </c>
      <c r="N59" s="35">
        <f t="shared" si="35"/>
        <v>58.40657376216902</v>
      </c>
      <c r="O59" s="86">
        <f t="shared" si="39"/>
        <v>0.47220109027989476</v>
      </c>
      <c r="R59" s="80"/>
      <c r="S59" s="81"/>
      <c r="T59" s="81"/>
      <c r="U59" s="81"/>
      <c r="V59" s="80"/>
    </row>
    <row r="60" spans="2:22" ht="12.75">
      <c r="B60" s="82">
        <f t="shared" si="40"/>
        <v>2002</v>
      </c>
      <c r="C60" s="40">
        <f t="shared" si="36"/>
        <v>5726.200446189005</v>
      </c>
      <c r="D60" s="35">
        <f t="shared" si="41"/>
        <v>86.76061282104553</v>
      </c>
      <c r="E60" s="83">
        <v>216.59</v>
      </c>
      <c r="F60" s="84">
        <f t="shared" si="37"/>
        <v>-0.06079528207796714</v>
      </c>
      <c r="G60" s="40">
        <f t="shared" si="42"/>
        <v>1365.847688616141</v>
      </c>
      <c r="H60" s="35">
        <f t="shared" si="43"/>
        <v>113.82064071801176</v>
      </c>
      <c r="I60" s="83">
        <v>151.85</v>
      </c>
      <c r="J60" s="84">
        <f t="shared" si="38"/>
        <v>-0.09267447418738062</v>
      </c>
      <c r="K60" s="42">
        <f t="shared" si="34"/>
        <v>368.44</v>
      </c>
      <c r="L60" s="85">
        <f t="shared" si="44"/>
        <v>167.8587464609427</v>
      </c>
      <c r="M60" s="40">
        <f t="shared" si="45"/>
        <v>69.18182241367427</v>
      </c>
      <c r="N60" s="35">
        <f t="shared" si="35"/>
        <v>38.029359281988235</v>
      </c>
      <c r="O60" s="86">
        <f t="shared" si="39"/>
        <v>0.8191687611850118</v>
      </c>
      <c r="R60" s="80"/>
      <c r="S60" s="81"/>
      <c r="T60" s="81"/>
      <c r="U60" s="81"/>
      <c r="V60" s="80"/>
    </row>
    <row r="61" spans="2:22" ht="13.5" thickBot="1">
      <c r="B61" s="82">
        <f t="shared" si="40"/>
        <v>2003</v>
      </c>
      <c r="C61" s="40">
        <f t="shared" si="36"/>
        <v>5856.029833367959</v>
      </c>
      <c r="D61" s="35">
        <f t="shared" si="41"/>
        <v>88.72772474799939</v>
      </c>
      <c r="E61" s="83">
        <v>213.13</v>
      </c>
      <c r="F61" s="84">
        <f t="shared" si="37"/>
        <v>-0.01597488342028719</v>
      </c>
      <c r="G61" s="40">
        <f t="shared" si="42"/>
        <v>1403.8770478981291</v>
      </c>
      <c r="H61" s="35">
        <f t="shared" si="43"/>
        <v>116.98975399151075</v>
      </c>
      <c r="I61" s="83">
        <v>149.25</v>
      </c>
      <c r="J61" s="84">
        <f t="shared" si="38"/>
        <v>-0.017122160026341704</v>
      </c>
      <c r="K61" s="42">
        <f t="shared" si="34"/>
        <v>362.38</v>
      </c>
      <c r="L61" s="85">
        <f t="shared" si="44"/>
        <v>156.66252126048985</v>
      </c>
      <c r="M61" s="40">
        <f t="shared" si="45"/>
        <v>64.52310088340447</v>
      </c>
      <c r="N61" s="35">
        <f t="shared" si="35"/>
        <v>32.26024600848925</v>
      </c>
      <c r="O61" s="86">
        <f t="shared" si="39"/>
        <v>1.0000808693903105</v>
      </c>
      <c r="R61" s="80"/>
      <c r="S61" s="81"/>
      <c r="T61" s="81"/>
      <c r="U61" s="81"/>
      <c r="V61" s="80"/>
    </row>
    <row r="62" spans="2:22" ht="12.75">
      <c r="B62" s="82">
        <f t="shared" si="40"/>
        <v>2004</v>
      </c>
      <c r="C62" s="40">
        <f t="shared" si="36"/>
        <v>5980.43210861996</v>
      </c>
      <c r="D62" s="35">
        <f t="shared" si="41"/>
        <v>90.61260770636304</v>
      </c>
      <c r="E62" s="83">
        <v>207.73</v>
      </c>
      <c r="F62" s="84">
        <f t="shared" si="37"/>
        <v>-0.02533664899357202</v>
      </c>
      <c r="G62" s="40">
        <f t="shared" si="42"/>
        <v>1436.1372939066184</v>
      </c>
      <c r="H62" s="35">
        <f t="shared" si="43"/>
        <v>119.67810782555154</v>
      </c>
      <c r="I62" s="83">
        <v>154.51</v>
      </c>
      <c r="J62" s="84">
        <f t="shared" si="38"/>
        <v>0.035242881072026666</v>
      </c>
      <c r="K62" s="42">
        <f t="shared" si="34"/>
        <v>362.24</v>
      </c>
      <c r="L62" s="85">
        <f t="shared" si="44"/>
        <v>151.94928446808544</v>
      </c>
      <c r="M62" s="40">
        <f t="shared" si="45"/>
        <v>64.81251088550098</v>
      </c>
      <c r="N62" s="35">
        <f t="shared" si="35"/>
        <v>34.831892174448456</v>
      </c>
      <c r="O62" s="86">
        <f t="shared" si="39"/>
        <v>0.8607232291860772</v>
      </c>
      <c r="P62" s="121" t="s">
        <v>23</v>
      </c>
      <c r="R62" s="80"/>
      <c r="S62" s="81"/>
      <c r="T62" s="81"/>
      <c r="U62" s="81"/>
      <c r="V62" s="80"/>
    </row>
    <row r="63" spans="2:22" ht="12.75">
      <c r="B63" s="82">
        <f t="shared" si="40"/>
        <v>2005</v>
      </c>
      <c r="C63" s="40">
        <f t="shared" si="36"/>
        <v>6097.549500913597</v>
      </c>
      <c r="D63" s="35">
        <f t="shared" si="41"/>
        <v>92.38711365020602</v>
      </c>
      <c r="E63" s="83">
        <v>203.38</v>
      </c>
      <c r="F63" s="84">
        <f t="shared" si="37"/>
        <v>-0.02094064410532903</v>
      </c>
      <c r="G63" s="40">
        <f t="shared" si="42"/>
        <v>1470.969186081067</v>
      </c>
      <c r="H63" s="35">
        <f t="shared" si="43"/>
        <v>122.58076550675557</v>
      </c>
      <c r="I63" s="83">
        <v>161.3</v>
      </c>
      <c r="J63" s="84">
        <f t="shared" si="38"/>
        <v>0.04394537570383816</v>
      </c>
      <c r="K63" s="42">
        <f t="shared" si="34"/>
        <v>364.68</v>
      </c>
      <c r="L63" s="85">
        <f t="shared" si="44"/>
        <v>149.7121208430384</v>
      </c>
      <c r="M63" s="40">
        <f t="shared" si="45"/>
        <v>66.21850688818168</v>
      </c>
      <c r="N63" s="35">
        <f t="shared" si="35"/>
        <v>38.71923449324444</v>
      </c>
      <c r="O63" s="86">
        <f t="shared" si="39"/>
        <v>0.7102225226001094</v>
      </c>
      <c r="P63" s="122"/>
      <c r="R63" s="80"/>
      <c r="S63" s="81"/>
      <c r="T63" s="81"/>
      <c r="U63" s="81"/>
      <c r="V63" s="80"/>
    </row>
    <row r="64" spans="2:22" ht="12.75">
      <c r="B64" s="82">
        <f t="shared" si="40"/>
        <v>2006</v>
      </c>
      <c r="C64" s="40">
        <f t="shared" si="36"/>
        <v>6208.542387263391</v>
      </c>
      <c r="D64" s="35">
        <f t="shared" si="41"/>
        <v>94.06882404944533</v>
      </c>
      <c r="E64" s="83">
        <v>218.48</v>
      </c>
      <c r="F64" s="84">
        <f t="shared" si="37"/>
        <v>0.07424525518733405</v>
      </c>
      <c r="G64" s="40">
        <f t="shared" si="42"/>
        <v>1509.6884205743113</v>
      </c>
      <c r="H64" s="35">
        <f t="shared" si="43"/>
        <v>125.8073683811926</v>
      </c>
      <c r="I64" s="83">
        <v>178.26</v>
      </c>
      <c r="J64" s="84">
        <f t="shared" si="38"/>
        <v>0.10514569125852447</v>
      </c>
      <c r="K64" s="42">
        <f t="shared" si="34"/>
        <v>396.74</v>
      </c>
      <c r="L64" s="85">
        <f t="shared" si="44"/>
        <v>176.86380756936208</v>
      </c>
      <c r="M64" s="40">
        <f t="shared" si="45"/>
        <v>79.46701199101297</v>
      </c>
      <c r="N64" s="35">
        <f t="shared" si="35"/>
        <v>52.45263161880739</v>
      </c>
      <c r="O64" s="86">
        <f t="shared" si="39"/>
        <v>0.5150243093335916</v>
      </c>
      <c r="P64" s="122"/>
      <c r="R64" s="80"/>
      <c r="S64" s="81"/>
      <c r="T64" s="81"/>
      <c r="U64" s="81"/>
      <c r="V64" s="80"/>
    </row>
    <row r="65" spans="2:22" ht="12.75">
      <c r="B65" s="82">
        <f t="shared" si="40"/>
        <v>2007</v>
      </c>
      <c r="C65" s="40">
        <f t="shared" si="36"/>
        <v>6332.953563213945</v>
      </c>
      <c r="D65" s="35">
        <f t="shared" si="41"/>
        <v>95.95384186687795</v>
      </c>
      <c r="E65" s="83">
        <v>231.04</v>
      </c>
      <c r="F65" s="84">
        <f t="shared" si="37"/>
        <v>0.057488099597217124</v>
      </c>
      <c r="G65" s="40">
        <f t="shared" si="42"/>
        <v>1562.1410521931186</v>
      </c>
      <c r="H65" s="35">
        <f t="shared" si="43"/>
        <v>130.1784210160932</v>
      </c>
      <c r="I65" s="83">
        <v>195.95</v>
      </c>
      <c r="J65" s="84">
        <f t="shared" si="38"/>
        <v>0.09923706944911936</v>
      </c>
      <c r="K65" s="42">
        <f t="shared" si="34"/>
        <v>426.99</v>
      </c>
      <c r="L65" s="85">
        <f t="shared" si="44"/>
        <v>200.85773711702885</v>
      </c>
      <c r="M65" s="40">
        <f t="shared" si="45"/>
        <v>92.1756331250891</v>
      </c>
      <c r="N65" s="35">
        <f t="shared" si="35"/>
        <v>65.77157898390678</v>
      </c>
      <c r="O65" s="86">
        <f t="shared" si="39"/>
        <v>0.40145081734533034</v>
      </c>
      <c r="P65" s="122"/>
      <c r="R65" s="80"/>
      <c r="S65" s="81"/>
      <c r="T65" s="81"/>
      <c r="U65" s="81"/>
      <c r="V65" s="80"/>
    </row>
    <row r="66" spans="2:22" ht="12.75">
      <c r="B66" s="82">
        <f t="shared" si="40"/>
        <v>2008</v>
      </c>
      <c r="C66" s="40">
        <f t="shared" si="36"/>
        <v>6468.039721347067</v>
      </c>
      <c r="D66" s="35">
        <f t="shared" si="41"/>
        <v>98.00060183859192</v>
      </c>
      <c r="E66" s="83">
        <v>241.46</v>
      </c>
      <c r="F66" s="84">
        <f t="shared" si="37"/>
        <v>0.045100415512465464</v>
      </c>
      <c r="G66" s="40">
        <f t="shared" si="42"/>
        <v>1627.9126311770256</v>
      </c>
      <c r="H66" s="35">
        <f t="shared" si="43"/>
        <v>135.6593859314188</v>
      </c>
      <c r="I66" s="83">
        <v>201.56</v>
      </c>
      <c r="J66" s="84">
        <f t="shared" si="38"/>
        <v>0.02862975248787958</v>
      </c>
      <c r="K66" s="42">
        <f t="shared" si="34"/>
        <v>443.02</v>
      </c>
      <c r="L66" s="85">
        <f t="shared" si="44"/>
        <v>209.36001222998925</v>
      </c>
      <c r="M66" s="40">
        <f t="shared" si="45"/>
        <v>95.25214226237334</v>
      </c>
      <c r="N66" s="35">
        <f t="shared" si="35"/>
        <v>65.9006140685812</v>
      </c>
      <c r="O66" s="86">
        <f t="shared" si="39"/>
        <v>0.44539081476914155</v>
      </c>
      <c r="P66" s="122"/>
      <c r="R66" s="80"/>
      <c r="S66" s="81"/>
      <c r="T66" s="81"/>
      <c r="U66" s="81"/>
      <c r="V66" s="80"/>
    </row>
    <row r="67" spans="2:22" ht="12.75">
      <c r="B67" s="82">
        <f t="shared" si="40"/>
        <v>2009</v>
      </c>
      <c r="C67" s="40">
        <f t="shared" si="36"/>
        <v>6611.499119508475</v>
      </c>
      <c r="D67" s="35">
        <f>C67*D$49</f>
        <v>100.17422908346174</v>
      </c>
      <c r="E67" s="83">
        <v>240.07</v>
      </c>
      <c r="F67" s="84">
        <f t="shared" si="37"/>
        <v>-0.005756647063695941</v>
      </c>
      <c r="G67" s="40">
        <f t="shared" si="42"/>
        <v>1693.8132452456066</v>
      </c>
      <c r="H67" s="35">
        <f>G67*H$49</f>
        <v>141.15110377046722</v>
      </c>
      <c r="I67" s="83">
        <v>154.68</v>
      </c>
      <c r="J67" s="84">
        <f t="shared" si="38"/>
        <v>-0.23258583052192894</v>
      </c>
      <c r="K67" s="42">
        <f t="shared" si="34"/>
        <v>394.75</v>
      </c>
      <c r="L67" s="85">
        <f t="shared" si="44"/>
        <v>153.42466714607104</v>
      </c>
      <c r="M67" s="40">
        <f t="shared" si="45"/>
        <v>60.11837242344337</v>
      </c>
      <c r="N67" s="35">
        <f t="shared" si="35"/>
        <v>13.52889622953279</v>
      </c>
      <c r="O67" s="86">
        <f t="shared" si="39"/>
        <v>3.4437012010047408</v>
      </c>
      <c r="P67" s="122"/>
      <c r="R67" s="80"/>
      <c r="S67" s="81"/>
      <c r="T67" s="81"/>
      <c r="U67" s="81"/>
      <c r="V67" s="80"/>
    </row>
    <row r="68" spans="2:22" ht="13.5" thickBot="1">
      <c r="B68" s="87">
        <f t="shared" si="40"/>
        <v>2010</v>
      </c>
      <c r="C68" s="53">
        <f t="shared" si="36"/>
        <v>6751.394890425013</v>
      </c>
      <c r="D68" s="55">
        <f>C68*D$49</f>
        <v>102.29386197613655</v>
      </c>
      <c r="E68" s="88">
        <v>249.78</v>
      </c>
      <c r="F68" s="89">
        <f t="shared" si="37"/>
        <v>0.04044653642687557</v>
      </c>
      <c r="G68" s="53">
        <f t="shared" si="42"/>
        <v>1707.3421414751394</v>
      </c>
      <c r="H68" s="55">
        <f>G68*H$49</f>
        <v>142.27851178959494</v>
      </c>
      <c r="I68" s="93">
        <v>170.02</v>
      </c>
      <c r="J68" s="89">
        <f t="shared" si="38"/>
        <v>0.09917248513059218</v>
      </c>
      <c r="K68" s="62">
        <f t="shared" si="34"/>
        <v>419.8</v>
      </c>
      <c r="L68" s="90">
        <f t="shared" si="44"/>
        <v>175.2276262342685</v>
      </c>
      <c r="M68" s="53">
        <f t="shared" si="45"/>
        <v>70.96760603227807</v>
      </c>
      <c r="N68" s="55">
        <f t="shared" si="35"/>
        <v>27.741488210405066</v>
      </c>
      <c r="O68" s="86">
        <f t="shared" si="39"/>
        <v>1.5581758806169628</v>
      </c>
      <c r="P68" s="122"/>
      <c r="R68" s="80"/>
      <c r="S68" s="81"/>
      <c r="T68" s="81"/>
      <c r="U68" s="81"/>
      <c r="V68" s="80"/>
    </row>
    <row r="69" spans="15:16" ht="13.5" thickBot="1">
      <c r="O69" s="91">
        <f>AVERAGE(O50:O68)</f>
        <v>0.7661197868864167</v>
      </c>
      <c r="P69" s="123"/>
    </row>
    <row r="70" ht="12.75" customHeight="1"/>
    <row r="71" spans="2:14" ht="12.75">
      <c r="B71" s="119" t="s">
        <v>30</v>
      </c>
      <c r="C71" s="127" t="s">
        <v>29</v>
      </c>
      <c r="D71" s="128"/>
      <c r="E71" s="128"/>
      <c r="F71" s="94"/>
      <c r="G71" s="128" t="s">
        <v>28</v>
      </c>
      <c r="H71" s="128"/>
      <c r="I71" s="128"/>
      <c r="K71" s="119" t="s">
        <v>30</v>
      </c>
      <c r="L71" s="119" t="s">
        <v>31</v>
      </c>
      <c r="M71" s="119" t="s">
        <v>32</v>
      </c>
      <c r="N71" s="119" t="s">
        <v>33</v>
      </c>
    </row>
    <row r="72" spans="2:14" ht="25.5">
      <c r="B72" s="120"/>
      <c r="C72" s="96" t="s">
        <v>26</v>
      </c>
      <c r="D72" s="96" t="s">
        <v>27</v>
      </c>
      <c r="E72" s="95" t="s">
        <v>24</v>
      </c>
      <c r="F72" s="94"/>
      <c r="G72" s="96" t="s">
        <v>26</v>
      </c>
      <c r="H72" s="96" t="s">
        <v>27</v>
      </c>
      <c r="I72" s="95" t="s">
        <v>24</v>
      </c>
      <c r="K72" s="120"/>
      <c r="L72" s="120"/>
      <c r="M72" s="120"/>
      <c r="N72" s="129"/>
    </row>
    <row r="73" spans="2:14" ht="12.75">
      <c r="B73" s="99">
        <f aca="true" t="shared" si="46" ref="B73:B83">B58</f>
        <v>2000</v>
      </c>
      <c r="C73" s="100">
        <f aca="true" t="shared" si="47" ref="C73:C83">((I$63/I$58)^(1/5)-1)/((E$63/E$58)^(1/5)-1)-(((I$63/I$58)^(1/5)-1)/((E$63/E$58)^(1/5)-1)*E58-I58)/((E58+I58)^2)*(C58*1.5%+G58*8.3%)</f>
        <v>0.5803751641939505</v>
      </c>
      <c r="D73" s="101">
        <f>((I$63/I$58)^(1/5)-1)/((E$63/E$58)^(1/5)-1)</f>
        <v>0.5293718143724645</v>
      </c>
      <c r="E73" s="101">
        <f>C73-D73</f>
        <v>0.05100334982148602</v>
      </c>
      <c r="F73" s="102"/>
      <c r="G73" s="101">
        <f aca="true" t="shared" si="48" ref="G73:G83">((I59/I58)-1)/((E59/E58)-1)-(((I59/I58)-1)/((E59/E58)-1)*E58-I58)/((E58+I58)^2)*(C58*1.5%+G58*8.3%)</f>
        <v>1.0306903442356166</v>
      </c>
      <c r="H73" s="100">
        <f aca="true" t="shared" si="49" ref="H73:H83">((I59/I58)-1)/((E59/E58)-1)</f>
        <v>1.1327250447508979</v>
      </c>
      <c r="I73" s="101">
        <f>G73-H73</f>
        <v>-0.1020347005152813</v>
      </c>
      <c r="J73" s="98"/>
      <c r="K73" s="99">
        <f aca="true" t="shared" si="50" ref="K73:K83">B73</f>
        <v>2000</v>
      </c>
      <c r="L73" s="103">
        <f aca="true" t="shared" si="51" ref="L73:L83">1-(C58*1.5%+G58*8.3%)/(D58+I58)</f>
        <v>0.2901770094981304</v>
      </c>
      <c r="M73" s="104">
        <f aca="true" t="shared" si="52" ref="M73:M83">1-(G58*8.3%)/(I58)</f>
        <v>0.4204285631389746</v>
      </c>
      <c r="N73" s="105">
        <f>M73-L73</f>
        <v>0.13025155364084418</v>
      </c>
    </row>
    <row r="74" spans="2:14" ht="12.75">
      <c r="B74" s="106">
        <f t="shared" si="46"/>
        <v>2001</v>
      </c>
      <c r="C74" s="100">
        <f t="shared" si="47"/>
        <v>0.5843282581753584</v>
      </c>
      <c r="D74" s="107">
        <f aca="true" t="shared" si="53" ref="D74:D83">((I$63/I$58)^(1/5)-1)/((E$63/E$58)^(1/5)-1)</f>
        <v>0.5293718143724645</v>
      </c>
      <c r="E74" s="107">
        <f aca="true" t="shared" si="54" ref="E74:E83">C74-D74</f>
        <v>0.054956443802893884</v>
      </c>
      <c r="F74" s="102"/>
      <c r="G74" s="107">
        <f t="shared" si="48"/>
        <v>1.3008437808868696</v>
      </c>
      <c r="H74" s="100">
        <f t="shared" si="49"/>
        <v>1.5243695073004166</v>
      </c>
      <c r="I74" s="107">
        <f aca="true" t="shared" si="55" ref="I74:I83">G74-H74</f>
        <v>-0.22352572641354707</v>
      </c>
      <c r="J74" s="98"/>
      <c r="K74" s="106">
        <f t="shared" si="50"/>
        <v>2001</v>
      </c>
      <c r="L74" s="108">
        <f t="shared" si="51"/>
        <v>0.23694352959193898</v>
      </c>
      <c r="M74" s="109">
        <f t="shared" si="52"/>
        <v>0.3515917033169236</v>
      </c>
      <c r="N74" s="110">
        <f aca="true" t="shared" si="56" ref="N74:N83">M74-L74</f>
        <v>0.11464817372498459</v>
      </c>
    </row>
    <row r="75" spans="2:14" ht="12.75">
      <c r="B75" s="106">
        <f t="shared" si="46"/>
        <v>2002</v>
      </c>
      <c r="C75" s="100">
        <f t="shared" si="47"/>
        <v>0.5839662541313413</v>
      </c>
      <c r="D75" s="107">
        <f t="shared" si="53"/>
        <v>0.5293718143724645</v>
      </c>
      <c r="E75" s="107">
        <f t="shared" si="54"/>
        <v>0.05459443975887679</v>
      </c>
      <c r="F75" s="102"/>
      <c r="G75" s="107">
        <f t="shared" si="48"/>
        <v>0.9539562089722176</v>
      </c>
      <c r="H75" s="100">
        <f t="shared" si="49"/>
        <v>1.0718175260420078</v>
      </c>
      <c r="I75" s="107">
        <f t="shared" si="55"/>
        <v>-0.1178613170697902</v>
      </c>
      <c r="J75" s="98"/>
      <c r="K75" s="106">
        <f t="shared" si="50"/>
        <v>2002</v>
      </c>
      <c r="L75" s="108">
        <f t="shared" si="51"/>
        <v>0.16492245465453936</v>
      </c>
      <c r="M75" s="109">
        <f t="shared" si="52"/>
        <v>0.2534385370092873</v>
      </c>
      <c r="N75" s="110">
        <f t="shared" si="56"/>
        <v>0.08851608235474795</v>
      </c>
    </row>
    <row r="76" spans="2:14" ht="12.75">
      <c r="B76" s="106">
        <f t="shared" si="46"/>
        <v>2003</v>
      </c>
      <c r="C76" s="100">
        <f t="shared" si="47"/>
        <v>0.5860572648447333</v>
      </c>
      <c r="D76" s="107">
        <f t="shared" si="53"/>
        <v>0.5293718143724645</v>
      </c>
      <c r="E76" s="107">
        <f t="shared" si="54"/>
        <v>0.056685450472268806</v>
      </c>
      <c r="F76" s="102"/>
      <c r="G76" s="107">
        <f t="shared" si="48"/>
        <v>-0.6973587758180156</v>
      </c>
      <c r="H76" s="100">
        <f t="shared" si="49"/>
        <v>-1.3909843042372292</v>
      </c>
      <c r="I76" s="107">
        <f t="shared" si="55"/>
        <v>0.6936255284192135</v>
      </c>
      <c r="J76" s="98"/>
      <c r="K76" s="106">
        <f t="shared" si="50"/>
        <v>2003</v>
      </c>
      <c r="L76" s="108">
        <f t="shared" si="51"/>
        <v>0.141254742676154</v>
      </c>
      <c r="M76" s="109">
        <f t="shared" si="52"/>
        <v>0.2192844557752447</v>
      </c>
      <c r="N76" s="110">
        <f t="shared" si="56"/>
        <v>0.07802971309909068</v>
      </c>
    </row>
    <row r="77" spans="2:14" ht="12.75">
      <c r="B77" s="106">
        <f t="shared" si="46"/>
        <v>2004</v>
      </c>
      <c r="C77" s="100">
        <f t="shared" si="47"/>
        <v>0.6002876284877133</v>
      </c>
      <c r="D77" s="107">
        <f t="shared" si="53"/>
        <v>0.5293718143724645</v>
      </c>
      <c r="E77" s="107">
        <f t="shared" si="54"/>
        <v>0.07091581411524883</v>
      </c>
      <c r="F77" s="102"/>
      <c r="G77" s="107">
        <f t="shared" si="48"/>
        <v>-1.1585470381055742</v>
      </c>
      <c r="H77" s="100">
        <f t="shared" si="49"/>
        <v>-2.0985684815996097</v>
      </c>
      <c r="I77" s="107">
        <f t="shared" si="55"/>
        <v>0.9400214434940355</v>
      </c>
      <c r="J77" s="98"/>
      <c r="K77" s="106">
        <f t="shared" si="50"/>
        <v>2004</v>
      </c>
      <c r="L77" s="108">
        <f t="shared" si="51"/>
        <v>0.14774945086337776</v>
      </c>
      <c r="M77" s="109">
        <f t="shared" si="52"/>
        <v>0.22853281085852473</v>
      </c>
      <c r="N77" s="110">
        <f t="shared" si="56"/>
        <v>0.08078335999514696</v>
      </c>
    </row>
    <row r="78" spans="2:14" ht="12.75">
      <c r="B78" s="106">
        <f t="shared" si="46"/>
        <v>2005</v>
      </c>
      <c r="C78" s="100">
        <f t="shared" si="47"/>
        <v>0.6154994405964114</v>
      </c>
      <c r="D78" s="107">
        <f t="shared" si="53"/>
        <v>0.5293718143724645</v>
      </c>
      <c r="E78" s="107">
        <f t="shared" si="54"/>
        <v>0.08612762622394687</v>
      </c>
      <c r="F78" s="102"/>
      <c r="G78" s="107">
        <f t="shared" si="48"/>
        <v>1.2127020700434639</v>
      </c>
      <c r="H78" s="100">
        <f t="shared" si="49"/>
        <v>1.4161940853085238</v>
      </c>
      <c r="I78" s="107">
        <f t="shared" si="55"/>
        <v>-0.2034920152650599</v>
      </c>
      <c r="J78" s="98"/>
      <c r="K78" s="106">
        <f t="shared" si="50"/>
        <v>2005</v>
      </c>
      <c r="L78" s="108">
        <f t="shared" si="51"/>
        <v>0.15820050184776469</v>
      </c>
      <c r="M78" s="109">
        <f t="shared" si="52"/>
        <v>0.24308467176237725</v>
      </c>
      <c r="N78" s="110">
        <f t="shared" si="56"/>
        <v>0.08488416991461256</v>
      </c>
    </row>
    <row r="79" spans="2:14" ht="12.75">
      <c r="B79" s="106">
        <f t="shared" si="46"/>
        <v>2006</v>
      </c>
      <c r="C79" s="100">
        <f t="shared" si="47"/>
        <v>0.6162476325409502</v>
      </c>
      <c r="D79" s="107">
        <f t="shared" si="53"/>
        <v>0.5293718143724645</v>
      </c>
      <c r="E79" s="107">
        <f t="shared" si="54"/>
        <v>0.08687581816848566</v>
      </c>
      <c r="F79" s="102"/>
      <c r="G79" s="107">
        <f t="shared" si="48"/>
        <v>1.4502215840090862</v>
      </c>
      <c r="H79" s="100">
        <f t="shared" si="49"/>
        <v>1.7262193418187581</v>
      </c>
      <c r="I79" s="107">
        <f t="shared" si="55"/>
        <v>-0.27599775780967195</v>
      </c>
      <c r="J79" s="98"/>
      <c r="K79" s="106">
        <f t="shared" si="50"/>
        <v>2006</v>
      </c>
      <c r="L79" s="108">
        <f t="shared" si="51"/>
        <v>0.1979098228803018</v>
      </c>
      <c r="M79" s="109">
        <f t="shared" si="52"/>
        <v>0.29707091379071104</v>
      </c>
      <c r="N79" s="110">
        <f t="shared" si="56"/>
        <v>0.09916109091040926</v>
      </c>
    </row>
    <row r="80" spans="2:14" ht="12.75">
      <c r="B80" s="106">
        <f t="shared" si="46"/>
        <v>2007</v>
      </c>
      <c r="C80" s="100">
        <f t="shared" si="47"/>
        <v>0.6201145554600863</v>
      </c>
      <c r="D80" s="107">
        <f t="shared" si="53"/>
        <v>0.5293718143724645</v>
      </c>
      <c r="E80" s="107">
        <f t="shared" si="54"/>
        <v>0.09074274108762181</v>
      </c>
      <c r="F80" s="102"/>
      <c r="G80" s="107">
        <f t="shared" si="48"/>
        <v>0.6955292296285105</v>
      </c>
      <c r="H80" s="100">
        <f t="shared" si="49"/>
        <v>0.6348001933588949</v>
      </c>
      <c r="I80" s="107">
        <f t="shared" si="55"/>
        <v>0.060729036269615566</v>
      </c>
      <c r="J80" s="98"/>
      <c r="K80" s="106">
        <f t="shared" si="50"/>
        <v>2007</v>
      </c>
      <c r="L80" s="108">
        <f t="shared" si="51"/>
        <v>0.23039035956679854</v>
      </c>
      <c r="M80" s="109">
        <f t="shared" si="52"/>
        <v>0.33831228715473916</v>
      </c>
      <c r="N80" s="110">
        <f t="shared" si="56"/>
        <v>0.10792192758794061</v>
      </c>
    </row>
    <row r="81" spans="2:14" ht="12.75">
      <c r="B81" s="106">
        <f t="shared" si="46"/>
        <v>2008</v>
      </c>
      <c r="C81" s="100">
        <f t="shared" si="47"/>
        <v>0.6165863762240387</v>
      </c>
      <c r="D81" s="107">
        <f t="shared" si="53"/>
        <v>0.5293718143724645</v>
      </c>
      <c r="E81" s="107">
        <f t="shared" si="54"/>
        <v>0.08721456185157417</v>
      </c>
      <c r="F81" s="102"/>
      <c r="G81" s="107">
        <f t="shared" si="48"/>
        <v>29.102693158649164</v>
      </c>
      <c r="H81" s="100">
        <f t="shared" si="49"/>
        <v>40.40300333656408</v>
      </c>
      <c r="I81" s="107">
        <f t="shared" si="55"/>
        <v>-11.30031017791492</v>
      </c>
      <c r="J81" s="98"/>
      <c r="K81" s="106">
        <f t="shared" si="50"/>
        <v>2008</v>
      </c>
      <c r="L81" s="108">
        <f t="shared" si="51"/>
        <v>0.22507384888691595</v>
      </c>
      <c r="M81" s="109">
        <f t="shared" si="52"/>
        <v>0.3296450268520881</v>
      </c>
      <c r="N81" s="110">
        <f t="shared" si="56"/>
        <v>0.10457117796517212</v>
      </c>
    </row>
    <row r="82" spans="2:14" ht="12.75">
      <c r="B82" s="106">
        <f t="shared" si="46"/>
        <v>2009</v>
      </c>
      <c r="C82" s="100">
        <f t="shared" si="47"/>
        <v>0.5718279721506028</v>
      </c>
      <c r="D82" s="107">
        <f t="shared" si="53"/>
        <v>0.5293718143724645</v>
      </c>
      <c r="E82" s="107">
        <f t="shared" si="54"/>
        <v>0.04245615777813827</v>
      </c>
      <c r="F82" s="102"/>
      <c r="G82" s="107">
        <f t="shared" si="48"/>
        <v>1.7842459538907693</v>
      </c>
      <c r="H82" s="100">
        <f t="shared" si="49"/>
        <v>2.4519401138312276</v>
      </c>
      <c r="I82" s="107">
        <f t="shared" si="55"/>
        <v>-0.6676941599404582</v>
      </c>
      <c r="J82" s="98"/>
      <c r="K82" s="106">
        <f t="shared" si="50"/>
        <v>2009</v>
      </c>
      <c r="L82" s="108">
        <f t="shared" si="51"/>
        <v>0.05923089049664454</v>
      </c>
      <c r="M82" s="109">
        <f t="shared" si="52"/>
        <v>0.09111391676114988</v>
      </c>
      <c r="N82" s="110">
        <f t="shared" si="56"/>
        <v>0.03188302626450534</v>
      </c>
    </row>
    <row r="83" spans="2:14" ht="12.75">
      <c r="B83" s="111">
        <f t="shared" si="46"/>
        <v>2010</v>
      </c>
      <c r="C83" s="112">
        <f t="shared" si="47"/>
        <v>0.5814796987240023</v>
      </c>
      <c r="D83" s="113">
        <f t="shared" si="53"/>
        <v>0.5293718143724645</v>
      </c>
      <c r="E83" s="113">
        <f t="shared" si="54"/>
        <v>0.05210788435153779</v>
      </c>
      <c r="F83" s="114"/>
      <c r="G83" s="113">
        <f t="shared" si="48"/>
        <v>0.8900307207994572</v>
      </c>
      <c r="H83" s="112">
        <f t="shared" si="49"/>
        <v>1</v>
      </c>
      <c r="I83" s="113">
        <f t="shared" si="55"/>
        <v>-0.10996927920054278</v>
      </c>
      <c r="J83" s="98"/>
      <c r="K83" s="111">
        <f t="shared" si="50"/>
        <v>2010</v>
      </c>
      <c r="L83" s="115">
        <f t="shared" si="51"/>
        <v>0.10771960216955578</v>
      </c>
      <c r="M83" s="116">
        <f t="shared" si="52"/>
        <v>0.16651336464864974</v>
      </c>
      <c r="N83" s="117">
        <f t="shared" si="56"/>
        <v>0.05879376247909396</v>
      </c>
    </row>
    <row r="85" ht="12.75">
      <c r="N85" s="97"/>
    </row>
  </sheetData>
  <mergeCells count="47">
    <mergeCell ref="C3:I3"/>
    <mergeCell ref="J3:P3"/>
    <mergeCell ref="Q3:R3"/>
    <mergeCell ref="S3:V3"/>
    <mergeCell ref="F4:G4"/>
    <mergeCell ref="H4:I4"/>
    <mergeCell ref="M4:N4"/>
    <mergeCell ref="O4:P4"/>
    <mergeCell ref="U4:U5"/>
    <mergeCell ref="V4:V5"/>
    <mergeCell ref="C25:I25"/>
    <mergeCell ref="J25:P25"/>
    <mergeCell ref="Q25:R25"/>
    <mergeCell ref="S25:V25"/>
    <mergeCell ref="Q4:Q5"/>
    <mergeCell ref="R4:R5"/>
    <mergeCell ref="S4:S5"/>
    <mergeCell ref="T4:T5"/>
    <mergeCell ref="R26:R27"/>
    <mergeCell ref="S26:S27"/>
    <mergeCell ref="T26:T27"/>
    <mergeCell ref="F26:G26"/>
    <mergeCell ref="H26:I26"/>
    <mergeCell ref="M26:N26"/>
    <mergeCell ref="O26:P26"/>
    <mergeCell ref="U26:U27"/>
    <mergeCell ref="V26:V27"/>
    <mergeCell ref="E48:F48"/>
    <mergeCell ref="I48:J48"/>
    <mergeCell ref="K48:K49"/>
    <mergeCell ref="L48:L49"/>
    <mergeCell ref="M48:M49"/>
    <mergeCell ref="N48:N49"/>
    <mergeCell ref="O48:O49"/>
    <mergeCell ref="Q26:Q27"/>
    <mergeCell ref="C47:F47"/>
    <mergeCell ref="G47:J47"/>
    <mergeCell ref="K47:L47"/>
    <mergeCell ref="M47:O47"/>
    <mergeCell ref="L71:L72"/>
    <mergeCell ref="K71:K72"/>
    <mergeCell ref="B71:B72"/>
    <mergeCell ref="P62:P69"/>
    <mergeCell ref="C71:E71"/>
    <mergeCell ref="G71:I71"/>
    <mergeCell ref="N71:N72"/>
    <mergeCell ref="M71:M7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Heraklit</dc:creator>
  <cp:keywords/>
  <dc:description/>
  <cp:lastModifiedBy>Heraklit</cp:lastModifiedBy>
  <dcterms:created xsi:type="dcterms:W3CDTF">2012-01-19T11:23:14Z</dcterms:created>
  <dcterms:modified xsi:type="dcterms:W3CDTF">2012-01-20T20:05:05Z</dcterms:modified>
  <cp:category/>
  <cp:version/>
  <cp:contentType/>
  <cp:contentStatus/>
</cp:coreProperties>
</file>